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0490" windowHeight="7335" activeTab="5"/>
  </bookViews>
  <sheets>
    <sheet name="Ouststanding Position" sheetId="1" r:id="rId1"/>
    <sheet name="Abstract" sheetId="5" state="hidden" r:id="rId2"/>
    <sheet name="Ouststanding Position (3)" sheetId="4" state="hidden" r:id="rId3"/>
    <sheet name="Ouststanding Position (2)" sheetId="3" state="hidden" r:id="rId4"/>
    <sheet name="Sheet2" sheetId="2" state="hidden" r:id="rId5"/>
    <sheet name="Sheet1" sheetId="6" r:id="rId6"/>
  </sheets>
  <externalReferences>
    <externalReference r:id="rId7"/>
  </externalReferences>
  <definedNames>
    <definedName name="Excel_BuiltIn_Print_Area_2" localSheetId="1">#REF!</definedName>
    <definedName name="Excel_BuiltIn_Print_Area_2" localSheetId="3">#REF!</definedName>
    <definedName name="Excel_BuiltIn_Print_Area_2" localSheetId="2">#REF!</definedName>
    <definedName name="Excel_BuiltIn_Print_Area_2" localSheetId="4">#REF!</definedName>
    <definedName name="Excel_BuiltIn_Print_Area_2">#REF!</definedName>
  </definedNames>
  <calcPr calcId="144525"/>
</workbook>
</file>

<file path=xl/calcChain.xml><?xml version="1.0" encoding="utf-8"?>
<calcChain xmlns="http://schemas.openxmlformats.org/spreadsheetml/2006/main">
  <c r="L8" i="6" l="1"/>
  <c r="N8" i="6"/>
  <c r="L9" i="6"/>
  <c r="N9" i="6"/>
  <c r="L10" i="6"/>
  <c r="N10" i="6"/>
  <c r="L11" i="6"/>
  <c r="N11" i="6"/>
  <c r="L12" i="6"/>
  <c r="N12" i="6"/>
  <c r="L13" i="6"/>
  <c r="N13" i="6"/>
  <c r="L14" i="6"/>
  <c r="N14" i="6"/>
  <c r="N7" i="6"/>
  <c r="L7" i="6"/>
  <c r="J8" i="6"/>
  <c r="K8" i="6"/>
  <c r="J9" i="6"/>
  <c r="K9" i="6"/>
  <c r="J10" i="6"/>
  <c r="K10" i="6"/>
  <c r="J11" i="6"/>
  <c r="K11" i="6"/>
  <c r="J12" i="6"/>
  <c r="K12" i="6"/>
  <c r="K7" i="6"/>
  <c r="J7" i="6"/>
  <c r="H8" i="6"/>
  <c r="I8" i="6"/>
  <c r="H9" i="6"/>
  <c r="I9" i="6"/>
  <c r="H10" i="6"/>
  <c r="I10" i="6"/>
  <c r="H11" i="6"/>
  <c r="I11" i="6"/>
  <c r="H12" i="6"/>
  <c r="I12" i="6"/>
  <c r="H14" i="6"/>
  <c r="I14" i="6"/>
  <c r="I7" i="6"/>
  <c r="H7" i="6"/>
  <c r="G12" i="6"/>
  <c r="M12" i="6" s="1"/>
  <c r="O12" i="6" s="1"/>
  <c r="G8" i="6"/>
  <c r="M8" i="6" s="1"/>
  <c r="O8" i="6" s="1"/>
  <c r="F8" i="6"/>
  <c r="F9" i="6"/>
  <c r="F10" i="6"/>
  <c r="F11" i="6"/>
  <c r="F12" i="6"/>
  <c r="F13" i="6"/>
  <c r="F14" i="6"/>
  <c r="F7" i="6"/>
  <c r="E8" i="6"/>
  <c r="E9" i="6"/>
  <c r="G9" i="6" s="1"/>
  <c r="M9" i="6" s="1"/>
  <c r="O9" i="6" s="1"/>
  <c r="E10" i="6"/>
  <c r="E11" i="6"/>
  <c r="G11" i="6" s="1"/>
  <c r="M11" i="6" s="1"/>
  <c r="O11" i="6" s="1"/>
  <c r="E12" i="6"/>
  <c r="E13" i="6"/>
  <c r="G13" i="6" s="1"/>
  <c r="M13" i="6" s="1"/>
  <c r="O13" i="6" s="1"/>
  <c r="E14" i="6"/>
  <c r="E7" i="6"/>
  <c r="G7" i="6" s="1"/>
  <c r="M7" i="6" s="1"/>
  <c r="M15" i="6" l="1"/>
  <c r="O7" i="6"/>
  <c r="G14" i="6"/>
  <c r="M14" i="6" s="1"/>
  <c r="O14" i="6" s="1"/>
  <c r="G10" i="6"/>
  <c r="M10" i="6" s="1"/>
  <c r="O10" i="6" s="1"/>
  <c r="I15" i="6"/>
  <c r="F15" i="6"/>
  <c r="J15" i="6"/>
  <c r="E15" i="6"/>
  <c r="K15" i="6"/>
  <c r="N15" i="6"/>
  <c r="L15" i="6"/>
  <c r="H15" i="6"/>
  <c r="F46" i="1"/>
  <c r="F45" i="1"/>
  <c r="G15" i="6" l="1"/>
  <c r="O15" i="6"/>
  <c r="F7" i="1"/>
  <c r="D40" i="1" l="1"/>
  <c r="D23" i="5" l="1"/>
  <c r="C23" i="5"/>
  <c r="B23" i="5"/>
  <c r="E22" i="5"/>
  <c r="E21" i="5"/>
  <c r="E20" i="5"/>
  <c r="E23" i="5" l="1"/>
  <c r="A1" i="5"/>
  <c r="A2" i="5"/>
  <c r="I9" i="5" l="1"/>
  <c r="I10" i="5"/>
  <c r="H11" i="5"/>
  <c r="H10" i="5"/>
  <c r="H9" i="5"/>
  <c r="H8" i="5"/>
  <c r="H7" i="5"/>
  <c r="H6" i="5"/>
  <c r="I11" i="5"/>
  <c r="I8" i="5"/>
  <c r="F10" i="5"/>
  <c r="F8" i="5"/>
  <c r="F7" i="5"/>
  <c r="F6" i="5"/>
  <c r="D12" i="5"/>
  <c r="D11" i="5"/>
  <c r="D10" i="5"/>
  <c r="D9" i="5"/>
  <c r="D8" i="5"/>
  <c r="D6" i="5"/>
  <c r="B12" i="5"/>
  <c r="B11" i="5"/>
  <c r="B10" i="5"/>
  <c r="B9" i="5"/>
  <c r="B8" i="5"/>
  <c r="B6" i="5"/>
  <c r="J9" i="5" l="1"/>
  <c r="H13" i="5"/>
  <c r="J12" i="5"/>
  <c r="J8" i="5"/>
  <c r="J10" i="5"/>
  <c r="J11" i="5"/>
  <c r="F13" i="5"/>
  <c r="J6" i="5"/>
  <c r="F40" i="1"/>
  <c r="E10" i="5" l="1"/>
  <c r="C10" i="5"/>
  <c r="I7" i="5"/>
  <c r="I6" i="5"/>
  <c r="I13" i="5" l="1"/>
  <c r="G11" i="5"/>
  <c r="G10" i="5"/>
  <c r="K10" i="5" s="1"/>
  <c r="G9" i="5"/>
  <c r="G8" i="5"/>
  <c r="G7" i="5"/>
  <c r="G6" i="5"/>
  <c r="E12" i="5"/>
  <c r="E11" i="5"/>
  <c r="E9" i="5"/>
  <c r="E8" i="5"/>
  <c r="E7" i="5"/>
  <c r="E6" i="5"/>
  <c r="C12" i="5"/>
  <c r="C11" i="5"/>
  <c r="C9" i="5"/>
  <c r="C8" i="5"/>
  <c r="C7" i="5"/>
  <c r="C6" i="5"/>
  <c r="G40" i="1"/>
  <c r="G33" i="1"/>
  <c r="D24" i="1"/>
  <c r="K11" i="5" l="1"/>
  <c r="K12" i="5"/>
  <c r="K9" i="5"/>
  <c r="K8" i="5"/>
  <c r="K7" i="5"/>
  <c r="K6" i="5"/>
  <c r="C13" i="5"/>
  <c r="G13" i="5"/>
  <c r="E13" i="5"/>
  <c r="K13" i="5" l="1"/>
  <c r="O72" i="4"/>
  <c r="M70" i="4"/>
  <c r="M72" i="4" s="1"/>
  <c r="M74" i="4" s="1"/>
  <c r="H67" i="4"/>
  <c r="G67" i="4"/>
  <c r="D67" i="4"/>
  <c r="C67" i="4"/>
  <c r="I66" i="4"/>
  <c r="H66" i="4"/>
  <c r="G66" i="4"/>
  <c r="D66" i="4"/>
  <c r="C66" i="4"/>
  <c r="I65" i="4"/>
  <c r="H65" i="4"/>
  <c r="G65" i="4"/>
  <c r="D65" i="4"/>
  <c r="C65" i="4"/>
  <c r="H64" i="4"/>
  <c r="G64" i="4"/>
  <c r="D64" i="4"/>
  <c r="C64" i="4"/>
  <c r="I63" i="4"/>
  <c r="H63" i="4"/>
  <c r="G63" i="4"/>
  <c r="D63" i="4"/>
  <c r="C63" i="4"/>
  <c r="J62" i="4"/>
  <c r="H62" i="4"/>
  <c r="G62" i="4"/>
  <c r="D62" i="4"/>
  <c r="C62" i="4"/>
  <c r="K61" i="4"/>
  <c r="J61" i="4"/>
  <c r="I61" i="4"/>
  <c r="H61" i="4"/>
  <c r="G61" i="4"/>
  <c r="D61" i="4"/>
  <c r="C61" i="4"/>
  <c r="K60" i="4"/>
  <c r="J60" i="4"/>
  <c r="I60" i="4"/>
  <c r="H60" i="4"/>
  <c r="G60" i="4"/>
  <c r="D60" i="4"/>
  <c r="C60" i="4"/>
  <c r="K59" i="4"/>
  <c r="J59" i="4"/>
  <c r="I59" i="4"/>
  <c r="H59" i="4"/>
  <c r="G59" i="4"/>
  <c r="D59" i="4"/>
  <c r="C59" i="4"/>
  <c r="G58" i="4"/>
  <c r="J57" i="4"/>
  <c r="H57" i="4"/>
  <c r="G57" i="4"/>
  <c r="D57" i="4"/>
  <c r="C57" i="4"/>
  <c r="N52" i="4"/>
  <c r="K52" i="4"/>
  <c r="J52" i="4"/>
  <c r="G52" i="4"/>
  <c r="F52" i="4"/>
  <c r="E52" i="4"/>
  <c r="C52" i="4"/>
  <c r="L51" i="4"/>
  <c r="O50" i="4"/>
  <c r="L50" i="4"/>
  <c r="I50" i="4"/>
  <c r="L49" i="4"/>
  <c r="O48" i="4"/>
  <c r="L48" i="4"/>
  <c r="I48" i="4"/>
  <c r="O47" i="4"/>
  <c r="L47" i="4"/>
  <c r="O46" i="4"/>
  <c r="L46" i="4"/>
  <c r="O45" i="4"/>
  <c r="L45" i="4"/>
  <c r="H44" i="4"/>
  <c r="H52" i="4" s="1"/>
  <c r="D44" i="4"/>
  <c r="D58" i="4" s="1"/>
  <c r="O43" i="4"/>
  <c r="L43" i="4"/>
  <c r="I43" i="4"/>
  <c r="J42" i="4"/>
  <c r="G42" i="4"/>
  <c r="F42" i="4"/>
  <c r="E42" i="4"/>
  <c r="D42" i="4"/>
  <c r="K32" i="4"/>
  <c r="K42" i="4" s="1"/>
  <c r="I32" i="4"/>
  <c r="I42" i="4" s="1"/>
  <c r="H32" i="4"/>
  <c r="H42" i="4" s="1"/>
  <c r="C32" i="4"/>
  <c r="C42" i="4" s="1"/>
  <c r="G30" i="4"/>
  <c r="F30" i="4"/>
  <c r="E30" i="4"/>
  <c r="D30" i="4"/>
  <c r="K29" i="4"/>
  <c r="J29" i="4"/>
  <c r="I29" i="4"/>
  <c r="K28" i="4"/>
  <c r="J28" i="4"/>
  <c r="K27" i="4"/>
  <c r="J27" i="4"/>
  <c r="K26" i="4"/>
  <c r="J26" i="4"/>
  <c r="I26" i="4"/>
  <c r="K25" i="4"/>
  <c r="J25" i="4"/>
  <c r="K24" i="4"/>
  <c r="I24" i="4"/>
  <c r="K20" i="4"/>
  <c r="J20" i="4"/>
  <c r="I20" i="4"/>
  <c r="H20" i="4"/>
  <c r="H30" i="4" s="1"/>
  <c r="C20" i="4"/>
  <c r="C30" i="4" s="1"/>
  <c r="K19" i="4"/>
  <c r="I19" i="4"/>
  <c r="N18" i="4"/>
  <c r="G18" i="4"/>
  <c r="D18" i="4"/>
  <c r="K17" i="4"/>
  <c r="K67" i="4" s="1"/>
  <c r="J17" i="4"/>
  <c r="J67" i="4" s="1"/>
  <c r="I17" i="4"/>
  <c r="I67" i="4" s="1"/>
  <c r="F17" i="4"/>
  <c r="F67" i="4" s="1"/>
  <c r="E17" i="4"/>
  <c r="E67" i="4" s="1"/>
  <c r="K16" i="4"/>
  <c r="J16" i="4"/>
  <c r="J66" i="4" s="1"/>
  <c r="F16" i="4"/>
  <c r="F66" i="4" s="1"/>
  <c r="E16" i="4"/>
  <c r="E66" i="4" s="1"/>
  <c r="K15" i="4"/>
  <c r="K65" i="4" s="1"/>
  <c r="J15" i="4"/>
  <c r="F15" i="4"/>
  <c r="F65" i="4" s="1"/>
  <c r="E15" i="4"/>
  <c r="E65" i="4" s="1"/>
  <c r="K14" i="4"/>
  <c r="J14" i="4"/>
  <c r="J64" i="4" s="1"/>
  <c r="I14" i="4"/>
  <c r="F14" i="4"/>
  <c r="F64" i="4" s="1"/>
  <c r="E14" i="4"/>
  <c r="E64" i="4" s="1"/>
  <c r="K13" i="4"/>
  <c r="K63" i="4" s="1"/>
  <c r="J13" i="4"/>
  <c r="J63" i="4" s="1"/>
  <c r="F13" i="4"/>
  <c r="F63" i="4" s="1"/>
  <c r="E13" i="4"/>
  <c r="E63" i="4" s="1"/>
  <c r="K12" i="4"/>
  <c r="K62" i="4" s="1"/>
  <c r="I12" i="4"/>
  <c r="F12" i="4"/>
  <c r="F62" i="4" s="1"/>
  <c r="E12" i="4"/>
  <c r="E62" i="4" s="1"/>
  <c r="F11" i="4"/>
  <c r="F61" i="4" s="1"/>
  <c r="E11" i="4"/>
  <c r="E61" i="4" s="1"/>
  <c r="F10" i="4"/>
  <c r="F60" i="4" s="1"/>
  <c r="E10" i="4"/>
  <c r="E60" i="4" s="1"/>
  <c r="F9" i="4"/>
  <c r="F59" i="4" s="1"/>
  <c r="E9" i="4"/>
  <c r="E59" i="4" s="1"/>
  <c r="K8" i="4"/>
  <c r="J8" i="4"/>
  <c r="I8" i="4"/>
  <c r="I58" i="4" s="1"/>
  <c r="H8" i="4"/>
  <c r="F8" i="4"/>
  <c r="F58" i="4" s="1"/>
  <c r="E8" i="4"/>
  <c r="E58" i="4" s="1"/>
  <c r="C8" i="4"/>
  <c r="C18" i="4" s="1"/>
  <c r="C54" i="4" s="1"/>
  <c r="K7" i="4"/>
  <c r="K57" i="4" s="1"/>
  <c r="I7" i="4"/>
  <c r="F7" i="4"/>
  <c r="F57" i="4" s="1"/>
  <c r="E7" i="4"/>
  <c r="E57" i="4" s="1"/>
  <c r="I62" i="4" l="1"/>
  <c r="I64" i="4"/>
  <c r="G54" i="4"/>
  <c r="J65" i="4"/>
  <c r="J68" i="4" s="1"/>
  <c r="H58" i="4"/>
  <c r="K30" i="4"/>
  <c r="J30" i="4"/>
  <c r="K64" i="4"/>
  <c r="K66" i="4"/>
  <c r="M43" i="4"/>
  <c r="E68" i="4"/>
  <c r="I52" i="4"/>
  <c r="G68" i="4"/>
  <c r="J58" i="4"/>
  <c r="I57" i="4"/>
  <c r="K58" i="4"/>
  <c r="I30" i="4"/>
  <c r="O52" i="4"/>
  <c r="F68" i="4"/>
  <c r="D68" i="4"/>
  <c r="H68" i="4"/>
  <c r="F18" i="4"/>
  <c r="F54" i="4" s="1"/>
  <c r="H18" i="4"/>
  <c r="H54" i="4" s="1"/>
  <c r="J18" i="4"/>
  <c r="L44" i="4"/>
  <c r="D52" i="4"/>
  <c r="D54" i="4" s="1"/>
  <c r="C58" i="4"/>
  <c r="C68" i="4" s="1"/>
  <c r="E18" i="4"/>
  <c r="E54" i="4" s="1"/>
  <c r="I18" i="4"/>
  <c r="K18" i="4"/>
  <c r="I68" i="4" l="1"/>
  <c r="J54" i="4"/>
  <c r="K68" i="4"/>
  <c r="K54" i="4"/>
  <c r="I54" i="4"/>
  <c r="D15" i="1"/>
  <c r="C40" i="1" l="1"/>
  <c r="O72" i="3" l="1"/>
  <c r="M70" i="3"/>
  <c r="M72" i="3" s="1"/>
  <c r="M74" i="3" s="1"/>
  <c r="H67" i="3"/>
  <c r="G67" i="3"/>
  <c r="D67" i="3"/>
  <c r="C67" i="3"/>
  <c r="I66" i="3"/>
  <c r="H66" i="3"/>
  <c r="G66" i="3"/>
  <c r="D66" i="3"/>
  <c r="C66" i="3"/>
  <c r="I65" i="3"/>
  <c r="H65" i="3"/>
  <c r="G65" i="3"/>
  <c r="C65" i="3"/>
  <c r="H64" i="3"/>
  <c r="G64" i="3"/>
  <c r="D64" i="3"/>
  <c r="C64" i="3"/>
  <c r="I63" i="3"/>
  <c r="H63" i="3"/>
  <c r="G63" i="3"/>
  <c r="D63" i="3"/>
  <c r="C63" i="3"/>
  <c r="J62" i="3"/>
  <c r="H62" i="3"/>
  <c r="G62" i="3"/>
  <c r="D62" i="3"/>
  <c r="C62" i="3"/>
  <c r="K61" i="3"/>
  <c r="J61" i="3"/>
  <c r="I61" i="3"/>
  <c r="H61" i="3"/>
  <c r="G61" i="3"/>
  <c r="D61" i="3"/>
  <c r="C61" i="3"/>
  <c r="K60" i="3"/>
  <c r="J60" i="3"/>
  <c r="I60" i="3"/>
  <c r="H60" i="3"/>
  <c r="G60" i="3"/>
  <c r="D60" i="3"/>
  <c r="C60" i="3"/>
  <c r="K59" i="3"/>
  <c r="J59" i="3"/>
  <c r="I59" i="3"/>
  <c r="H59" i="3"/>
  <c r="G59" i="3"/>
  <c r="D59" i="3"/>
  <c r="C59" i="3"/>
  <c r="J57" i="3"/>
  <c r="H57" i="3"/>
  <c r="G57" i="3"/>
  <c r="D57" i="3"/>
  <c r="C57" i="3"/>
  <c r="N52" i="3"/>
  <c r="K52" i="3"/>
  <c r="J52" i="3"/>
  <c r="F52" i="3"/>
  <c r="E52" i="3"/>
  <c r="C52" i="3"/>
  <c r="L51" i="3"/>
  <c r="O50" i="3"/>
  <c r="L50" i="3"/>
  <c r="I50" i="3"/>
  <c r="L49" i="3"/>
  <c r="O48" i="3"/>
  <c r="L48" i="3"/>
  <c r="I48" i="3"/>
  <c r="O47" i="3"/>
  <c r="L47" i="3"/>
  <c r="O46" i="3"/>
  <c r="L46" i="3"/>
  <c r="O45" i="3"/>
  <c r="L45" i="3"/>
  <c r="H44" i="3"/>
  <c r="H52" i="3" s="1"/>
  <c r="G44" i="3"/>
  <c r="G52" i="3" s="1"/>
  <c r="D44" i="3"/>
  <c r="D58" i="3" s="1"/>
  <c r="O43" i="3"/>
  <c r="L43" i="3"/>
  <c r="M43" i="3" s="1"/>
  <c r="I43" i="3"/>
  <c r="I52" i="3" s="1"/>
  <c r="J42" i="3"/>
  <c r="F42" i="3"/>
  <c r="E42" i="3"/>
  <c r="D42" i="3"/>
  <c r="K32" i="3"/>
  <c r="K42" i="3" s="1"/>
  <c r="I32" i="3"/>
  <c r="I42" i="3" s="1"/>
  <c r="H32" i="3"/>
  <c r="H42" i="3" s="1"/>
  <c r="G32" i="3"/>
  <c r="G42" i="3" s="1"/>
  <c r="C32" i="3"/>
  <c r="C42" i="3" s="1"/>
  <c r="F30" i="3"/>
  <c r="E30" i="3"/>
  <c r="D30" i="3"/>
  <c r="K29" i="3"/>
  <c r="J29" i="3"/>
  <c r="I29" i="3"/>
  <c r="K28" i="3"/>
  <c r="J28" i="3"/>
  <c r="K27" i="3"/>
  <c r="J27" i="3"/>
  <c r="K26" i="3"/>
  <c r="J26" i="3"/>
  <c r="I26" i="3"/>
  <c r="K25" i="3"/>
  <c r="J25" i="3"/>
  <c r="K24" i="3"/>
  <c r="I24" i="3"/>
  <c r="K20" i="3"/>
  <c r="J20" i="3"/>
  <c r="I20" i="3"/>
  <c r="H20" i="3"/>
  <c r="H30" i="3" s="1"/>
  <c r="G20" i="3"/>
  <c r="G30" i="3" s="1"/>
  <c r="C20" i="3"/>
  <c r="C30" i="3" s="1"/>
  <c r="K19" i="3"/>
  <c r="I19" i="3"/>
  <c r="N18" i="3"/>
  <c r="D18" i="3"/>
  <c r="K17" i="3"/>
  <c r="K67" i="3" s="1"/>
  <c r="J17" i="3"/>
  <c r="J67" i="3" s="1"/>
  <c r="I17" i="3"/>
  <c r="I67" i="3" s="1"/>
  <c r="F17" i="3"/>
  <c r="F67" i="3" s="1"/>
  <c r="E17" i="3"/>
  <c r="E67" i="3" s="1"/>
  <c r="K16" i="3"/>
  <c r="K66" i="3" s="1"/>
  <c r="J16" i="3"/>
  <c r="F16" i="3"/>
  <c r="F66" i="3" s="1"/>
  <c r="E16" i="3"/>
  <c r="E66" i="3" s="1"/>
  <c r="K15" i="3"/>
  <c r="K65" i="3" s="1"/>
  <c r="J15" i="3"/>
  <c r="J65" i="3" s="1"/>
  <c r="F15" i="3"/>
  <c r="F65" i="3" s="1"/>
  <c r="E15" i="3"/>
  <c r="E65" i="3" s="1"/>
  <c r="K14" i="3"/>
  <c r="K64" i="3" s="1"/>
  <c r="J14" i="3"/>
  <c r="I14" i="3"/>
  <c r="F14" i="3"/>
  <c r="F64" i="3" s="1"/>
  <c r="E14" i="3"/>
  <c r="E64" i="3" s="1"/>
  <c r="K13" i="3"/>
  <c r="K63" i="3" s="1"/>
  <c r="J13" i="3"/>
  <c r="J63" i="3" s="1"/>
  <c r="F13" i="3"/>
  <c r="F63" i="3" s="1"/>
  <c r="E13" i="3"/>
  <c r="E63" i="3" s="1"/>
  <c r="K12" i="3"/>
  <c r="I12" i="3"/>
  <c r="F12" i="3"/>
  <c r="F62" i="3" s="1"/>
  <c r="E12" i="3"/>
  <c r="E62" i="3" s="1"/>
  <c r="F11" i="3"/>
  <c r="F61" i="3" s="1"/>
  <c r="E11" i="3"/>
  <c r="E61" i="3" s="1"/>
  <c r="F10" i="3"/>
  <c r="F60" i="3" s="1"/>
  <c r="E10" i="3"/>
  <c r="E60" i="3" s="1"/>
  <c r="F9" i="3"/>
  <c r="F59" i="3" s="1"/>
  <c r="E9" i="3"/>
  <c r="E59" i="3" s="1"/>
  <c r="K8" i="3"/>
  <c r="J8" i="3"/>
  <c r="J58" i="3" s="1"/>
  <c r="I8" i="3"/>
  <c r="H8" i="3"/>
  <c r="G8" i="3"/>
  <c r="F8" i="3"/>
  <c r="F58" i="3" s="1"/>
  <c r="E8" i="3"/>
  <c r="E58" i="3" s="1"/>
  <c r="C8" i="3"/>
  <c r="K7" i="3"/>
  <c r="K57" i="3" s="1"/>
  <c r="I7" i="3"/>
  <c r="I57" i="3" s="1"/>
  <c r="F7" i="3"/>
  <c r="E7" i="3"/>
  <c r="E57" i="3" s="1"/>
  <c r="I58" i="3" l="1"/>
  <c r="K62" i="3"/>
  <c r="J64" i="3"/>
  <c r="J66" i="3"/>
  <c r="J68" i="3" s="1"/>
  <c r="C58" i="3"/>
  <c r="C68" i="3" s="1"/>
  <c r="F18" i="3"/>
  <c r="F54" i="3" s="1"/>
  <c r="O52" i="3"/>
  <c r="G58" i="3"/>
  <c r="G68" i="3" s="1"/>
  <c r="K58" i="3"/>
  <c r="K68" i="3" s="1"/>
  <c r="K30" i="3"/>
  <c r="I30" i="3"/>
  <c r="E68" i="3"/>
  <c r="H58" i="3"/>
  <c r="H68" i="3" s="1"/>
  <c r="I62" i="3"/>
  <c r="I64" i="3"/>
  <c r="J30" i="3"/>
  <c r="C18" i="3"/>
  <c r="C54" i="3" s="1"/>
  <c r="E18" i="3"/>
  <c r="E54" i="3" s="1"/>
  <c r="G18" i="3"/>
  <c r="G54" i="3" s="1"/>
  <c r="I18" i="3"/>
  <c r="K18" i="3"/>
  <c r="L44" i="3"/>
  <c r="F57" i="3"/>
  <c r="F68" i="3" s="1"/>
  <c r="D65" i="3"/>
  <c r="D68" i="3" s="1"/>
  <c r="H18" i="3"/>
  <c r="H54" i="3" s="1"/>
  <c r="J18" i="3"/>
  <c r="D52" i="3"/>
  <c r="D54" i="3" s="1"/>
  <c r="I54" i="3" l="1"/>
  <c r="I68" i="3"/>
  <c r="K54" i="3"/>
  <c r="J54" i="3"/>
  <c r="M7" i="2" l="1"/>
  <c r="P14" i="2" l="1"/>
  <c r="K14" i="2"/>
  <c r="J14" i="2"/>
  <c r="I14" i="2"/>
  <c r="G14" i="2"/>
  <c r="E14" i="2"/>
  <c r="H10" i="2"/>
  <c r="F10" i="2"/>
  <c r="M9" i="2"/>
  <c r="N7" i="2"/>
  <c r="H7" i="2"/>
  <c r="F7" i="2"/>
  <c r="F14" i="2" s="1"/>
  <c r="N6" i="2"/>
  <c r="M6" i="2"/>
  <c r="N14" i="2" l="1"/>
  <c r="H14" i="2"/>
  <c r="M14" i="2"/>
  <c r="D52" i="1" l="1"/>
  <c r="D51" i="1"/>
  <c r="D50" i="1"/>
  <c r="D49" i="1"/>
  <c r="D48" i="1"/>
  <c r="D47" i="1"/>
  <c r="D46" i="1"/>
  <c r="D45" i="1"/>
  <c r="H35" i="1" l="1"/>
  <c r="H26" i="1"/>
  <c r="C26" i="1"/>
  <c r="H17" i="1"/>
  <c r="C17" i="1"/>
  <c r="D7" i="5" s="1"/>
  <c r="D13" i="5" s="1"/>
  <c r="H8" i="1"/>
  <c r="C8" i="1"/>
  <c r="B7" i="5" s="1"/>
  <c r="J7" i="5" l="1"/>
  <c r="J13" i="5" s="1"/>
  <c r="B13" i="5"/>
  <c r="H15" i="1"/>
  <c r="H52" i="1" l="1"/>
  <c r="G52" i="1"/>
  <c r="H51" i="1"/>
  <c r="M12" i="5" s="1"/>
  <c r="N12" i="5" s="1"/>
  <c r="G51" i="1"/>
  <c r="H50" i="1"/>
  <c r="M11" i="5" s="1"/>
  <c r="N11" i="5" s="1"/>
  <c r="G50" i="1"/>
  <c r="H49" i="1"/>
  <c r="M10" i="5" s="1"/>
  <c r="N10" i="5" s="1"/>
  <c r="G49" i="1"/>
  <c r="H48" i="1"/>
  <c r="M9" i="5" s="1"/>
  <c r="N9" i="5" s="1"/>
  <c r="G48" i="1"/>
  <c r="H47" i="1"/>
  <c r="M8" i="5" s="1"/>
  <c r="N8" i="5" s="1"/>
  <c r="G47" i="1"/>
  <c r="H46" i="1"/>
  <c r="M7" i="5" s="1"/>
  <c r="G46" i="1"/>
  <c r="H45" i="1"/>
  <c r="M6" i="5" s="1"/>
  <c r="N6" i="5" s="1"/>
  <c r="G45" i="1"/>
  <c r="C52" i="1"/>
  <c r="C51" i="1"/>
  <c r="C50" i="1"/>
  <c r="C49" i="1"/>
  <c r="C48" i="1"/>
  <c r="C47" i="1"/>
  <c r="C46" i="1"/>
  <c r="C45" i="1"/>
  <c r="H40" i="1"/>
  <c r="E40" i="1"/>
  <c r="M13" i="5" l="1"/>
  <c r="N7" i="5"/>
  <c r="N13" i="5" s="1"/>
  <c r="D53" i="1"/>
  <c r="H33" i="1"/>
  <c r="F33" i="1"/>
  <c r="E33" i="1"/>
  <c r="D33" i="1"/>
  <c r="C33" i="1"/>
  <c r="H24" i="1"/>
  <c r="G24" i="1"/>
  <c r="F24" i="1"/>
  <c r="E24" i="1"/>
  <c r="C24" i="1"/>
  <c r="F14" i="1"/>
  <c r="F52" i="1" s="1"/>
  <c r="E14" i="1"/>
  <c r="E52" i="1" s="1"/>
  <c r="F13" i="1"/>
  <c r="F51" i="1" s="1"/>
  <c r="E13" i="1"/>
  <c r="E51" i="1" s="1"/>
  <c r="F12" i="1"/>
  <c r="F50" i="1" s="1"/>
  <c r="E12" i="1"/>
  <c r="E50" i="1" s="1"/>
  <c r="F11" i="1"/>
  <c r="F49" i="1" s="1"/>
  <c r="E11" i="1"/>
  <c r="E49" i="1" s="1"/>
  <c r="F10" i="1"/>
  <c r="F48" i="1" s="1"/>
  <c r="E10" i="1"/>
  <c r="E48" i="1" s="1"/>
  <c r="F9" i="1"/>
  <c r="F47" i="1" s="1"/>
  <c r="E9" i="1"/>
  <c r="E47" i="1" s="1"/>
  <c r="F8" i="1"/>
  <c r="E8" i="1"/>
  <c r="E46" i="1" s="1"/>
  <c r="E7" i="1"/>
  <c r="L13" i="5" l="1"/>
  <c r="H42" i="1"/>
  <c r="F15" i="1"/>
  <c r="F42" i="1" s="1"/>
  <c r="F53" i="1"/>
  <c r="E15" i="1"/>
  <c r="E42" i="1" s="1"/>
  <c r="E45" i="1"/>
  <c r="E53" i="1" s="1"/>
  <c r="H53" i="1"/>
  <c r="G53" i="1"/>
  <c r="C53" i="1"/>
  <c r="D42" i="1"/>
  <c r="C15" i="1"/>
  <c r="C42" i="1" s="1"/>
  <c r="G15" i="1"/>
  <c r="G42" i="1" l="1"/>
</calcChain>
</file>

<file path=xl/sharedStrings.xml><?xml version="1.0" encoding="utf-8"?>
<sst xmlns="http://schemas.openxmlformats.org/spreadsheetml/2006/main" count="413" uniqueCount="78">
  <si>
    <t>NSL Textiles Ltd.</t>
  </si>
  <si>
    <t>Bank</t>
  </si>
  <si>
    <t>Facility</t>
  </si>
  <si>
    <t>FUND BASED</t>
  </si>
  <si>
    <t>NON-FUND BASED</t>
  </si>
  <si>
    <t>FB Debt converted to OCDs</t>
  </si>
  <si>
    <t>FB Debt converted to Equity</t>
  </si>
  <si>
    <t>Amount Sanctioned</t>
  </si>
  <si>
    <t>Canara Bank</t>
  </si>
  <si>
    <t>Term Loan</t>
  </si>
  <si>
    <t>State Bank of India</t>
  </si>
  <si>
    <t>State Bank of Hyderabad</t>
  </si>
  <si>
    <t>State Bank of Travancore</t>
  </si>
  <si>
    <t>State Bank of Mysore</t>
  </si>
  <si>
    <t>Andhra Bank</t>
  </si>
  <si>
    <t>Central Bank of India</t>
  </si>
  <si>
    <t>Punjab National Bank</t>
  </si>
  <si>
    <t>Indian Bank</t>
  </si>
  <si>
    <t>Bank of Maharashtra</t>
  </si>
  <si>
    <t>Oriental Bank of Commerce</t>
  </si>
  <si>
    <t>Total</t>
  </si>
  <si>
    <t>CC</t>
  </si>
  <si>
    <t>TL – EXP</t>
  </si>
  <si>
    <t>FITL</t>
  </si>
  <si>
    <t>Overdue Interest</t>
  </si>
  <si>
    <t>Installment Payble</t>
  </si>
  <si>
    <t>Interest accured &amp; due but not charged by banks</t>
  </si>
  <si>
    <t>NSL TEXTLES LTD</t>
  </si>
  <si>
    <t>Status of payment of interest and principle in Term Loans &amp; OCDs with all the lenders as on 30.11.2020</t>
  </si>
  <si>
    <t>Rs.Crs</t>
  </si>
  <si>
    <t>S.No</t>
  </si>
  <si>
    <t>Bank Name</t>
  </si>
  <si>
    <t>RTL</t>
  </si>
  <si>
    <t>Exp TL</t>
  </si>
  <si>
    <t>OCD</t>
  </si>
  <si>
    <t>Interest due</t>
  </si>
  <si>
    <t>Principle due</t>
  </si>
  <si>
    <t xml:space="preserve"> due qtr ending</t>
  </si>
  <si>
    <t>Int Paid from 01.04.20 to 30.11.20</t>
  </si>
  <si>
    <t>Inst Paid frm 01.04.20 to 30.11.20</t>
  </si>
  <si>
    <t>Cut back amount in CC</t>
  </si>
  <si>
    <t> June,19 to Sep,20</t>
  </si>
  <si>
    <t> Mar,20 to Sep,20</t>
  </si>
  <si>
    <t> Dec,19 to Sep,20</t>
  </si>
  <si>
    <t>Jun,19 to Sep,20</t>
  </si>
  <si>
    <t>CC Int paid from 01.04.20 to 30.11.20</t>
  </si>
  <si>
    <t>O/s as on 31st JULY '2021</t>
  </si>
  <si>
    <t>Details of Loans O/S as on 31.07.21</t>
  </si>
  <si>
    <t>Details of Loans O/S as on 31.12.21</t>
  </si>
  <si>
    <t>O/s as on 31st DEC '2021</t>
  </si>
  <si>
    <t>EXP TL</t>
  </si>
  <si>
    <t>Limits</t>
  </si>
  <si>
    <t>Total Limits</t>
  </si>
  <si>
    <t xml:space="preserve">Total </t>
  </si>
  <si>
    <t>TOTAL O/s Bal</t>
  </si>
  <si>
    <t>Total O/s Bal</t>
  </si>
  <si>
    <t>O/s Bal</t>
  </si>
  <si>
    <t>CC - FB</t>
  </si>
  <si>
    <t>CC - NFB</t>
  </si>
  <si>
    <t>Equity</t>
  </si>
  <si>
    <t>Union Bank of India</t>
  </si>
  <si>
    <t>Spinning</t>
  </si>
  <si>
    <t>Ginning</t>
  </si>
  <si>
    <t>Fabric</t>
  </si>
  <si>
    <t>TL</t>
  </si>
  <si>
    <t>EQUITY</t>
  </si>
  <si>
    <t>Particulars</t>
  </si>
  <si>
    <t>Details of Loans O/S as on 31.10.23</t>
  </si>
  <si>
    <t>O/s as on 31st oct '2023</t>
  </si>
  <si>
    <t>O/s as on 31st Oct'2023</t>
  </si>
  <si>
    <t>TOTAL</t>
  </si>
  <si>
    <t>Working capital</t>
  </si>
  <si>
    <t>Outstanding as on 31.10.23</t>
  </si>
  <si>
    <t>Fund Based Limt</t>
  </si>
  <si>
    <t>Non Fund Based Limt</t>
  </si>
  <si>
    <t>OCD'S</t>
  </si>
  <si>
    <t>Union Bank  Of India</t>
  </si>
  <si>
    <t>TERM LOANS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</si>
</sst>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 * #,##0.00_ ;_ * \-#,##0.00_ ;_ * &quot;-&quot;??_ ;_ @_ "/>
    <numFmt numFmtId="165" formatCode="0.0000000"/>
    <numFmt numFmtId="166" formatCode="_(* #,##0_);_(* \(#,##0\);_(* &quot;-&quot;??_);_(@_)"/>
  </numFmts>
  <fonts count="10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0"/>
      <name val="Arial Unicode MS"/>
      <family val="2"/>
    </font>
    <font>
      <b/>
      <sz val="11"/>
      <color indexed="8"/>
      <name val="Calibri"/>
      <family val="2"/>
    </font>
    <font>
      <sz val="11"/>
      <color rgb="FF000000"/>
      <name val="Calibri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2" fillId="0" borderId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87">
    <xf numFmtId="0" fontId="0" fillId="0" borderId="0" xfId="0"/>
    <xf numFmtId="43" fontId="4" fillId="0" borderId="1" xfId="0" applyNumberFormat="1" applyFont="1" applyFill="1" applyBorder="1"/>
    <xf numFmtId="43" fontId="5" fillId="0" borderId="1" xfId="0" applyNumberFormat="1" applyFont="1" applyFill="1" applyBorder="1"/>
    <xf numFmtId="2" fontId="4" fillId="0" borderId="1" xfId="0" applyNumberFormat="1" applyFont="1" applyFill="1" applyBorder="1"/>
    <xf numFmtId="43" fontId="4" fillId="0" borderId="0" xfId="0" applyNumberFormat="1" applyFont="1" applyFill="1" applyBorder="1"/>
    <xf numFmtId="0" fontId="5" fillId="0" borderId="1" xfId="0" applyFont="1" applyFill="1" applyBorder="1"/>
    <xf numFmtId="0" fontId="5" fillId="0" borderId="0" xfId="0" applyFont="1" applyFill="1"/>
    <xf numFmtId="0" fontId="4" fillId="0" borderId="0" xfId="0" applyFont="1" applyFill="1"/>
    <xf numFmtId="0" fontId="4" fillId="0" borderId="1" xfId="0" applyFont="1" applyFill="1" applyBorder="1"/>
    <xf numFmtId="0" fontId="6" fillId="0" borderId="0" xfId="0" applyNumberFormat="1" applyFont="1" applyFill="1"/>
    <xf numFmtId="2" fontId="5" fillId="0" borderId="1" xfId="0" applyNumberFormat="1" applyFont="1" applyFill="1" applyBorder="1"/>
    <xf numFmtId="43" fontId="4" fillId="0" borderId="0" xfId="0" applyNumberFormat="1" applyFont="1" applyFill="1"/>
    <xf numFmtId="43" fontId="2" fillId="0" borderId="1" xfId="1" applyFont="1" applyFill="1" applyBorder="1"/>
    <xf numFmtId="43" fontId="2" fillId="0" borderId="1" xfId="1" applyFill="1" applyBorder="1"/>
    <xf numFmtId="2" fontId="4" fillId="0" borderId="0" xfId="0" applyNumberFormat="1" applyFont="1" applyFill="1"/>
    <xf numFmtId="43" fontId="4" fillId="0" borderId="2" xfId="0" applyNumberFormat="1" applyFont="1" applyFill="1" applyBorder="1"/>
    <xf numFmtId="43" fontId="5" fillId="0" borderId="2" xfId="0" applyNumberFormat="1" applyFont="1" applyFill="1" applyBorder="1"/>
    <xf numFmtId="0" fontId="4" fillId="0" borderId="3" xfId="0" applyFont="1" applyFill="1" applyBorder="1"/>
    <xf numFmtId="0" fontId="4" fillId="0" borderId="4" xfId="0" applyFont="1" applyFill="1" applyBorder="1"/>
    <xf numFmtId="0" fontId="7" fillId="0" borderId="0" xfId="0" applyFont="1"/>
    <xf numFmtId="0" fontId="7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4" fontId="0" fillId="0" borderId="1" xfId="0" applyNumberFormat="1" applyBorder="1"/>
    <xf numFmtId="43" fontId="2" fillId="0" borderId="1" xfId="1" applyBorder="1"/>
    <xf numFmtId="2" fontId="0" fillId="0" borderId="1" xfId="0" applyNumberFormat="1" applyBorder="1"/>
    <xf numFmtId="0" fontId="7" fillId="2" borderId="1" xfId="0" applyFont="1" applyFill="1" applyBorder="1"/>
    <xf numFmtId="2" fontId="7" fillId="2" borderId="1" xfId="0" applyNumberFormat="1" applyFont="1" applyFill="1" applyBorder="1"/>
    <xf numFmtId="2" fontId="7" fillId="2" borderId="7" xfId="0" applyNumberFormat="1" applyFont="1" applyFill="1" applyBorder="1"/>
    <xf numFmtId="0" fontId="3" fillId="0" borderId="1" xfId="0" applyFont="1" applyFill="1" applyBorder="1" applyAlignment="1">
      <alignment horizontal="center" vertical="center" wrapText="1"/>
    </xf>
    <xf numFmtId="43" fontId="4" fillId="0" borderId="6" xfId="0" applyNumberFormat="1" applyFont="1" applyFill="1" applyBorder="1"/>
    <xf numFmtId="43" fontId="5" fillId="0" borderId="5" xfId="0" applyNumberFormat="1" applyFont="1" applyFill="1" applyBorder="1"/>
    <xf numFmtId="0" fontId="4" fillId="0" borderId="6" xfId="0" applyFont="1" applyFill="1" applyBorder="1"/>
    <xf numFmtId="43" fontId="4" fillId="0" borderId="5" xfId="0" applyNumberFormat="1" applyFont="1" applyFill="1" applyBorder="1"/>
    <xf numFmtId="0" fontId="4" fillId="0" borderId="8" xfId="0" applyFont="1" applyFill="1" applyBorder="1"/>
    <xf numFmtId="0" fontId="4" fillId="0" borderId="0" xfId="0" applyFont="1" applyFill="1" applyBorder="1"/>
    <xf numFmtId="0" fontId="4" fillId="0" borderId="9" xfId="0" applyFont="1" applyFill="1" applyBorder="1"/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4" xfId="0" applyFont="1" applyFill="1" applyBorder="1"/>
    <xf numFmtId="43" fontId="4" fillId="0" borderId="15" xfId="0" applyNumberFormat="1" applyFont="1" applyFill="1" applyBorder="1"/>
    <xf numFmtId="0" fontId="4" fillId="0" borderId="12" xfId="0" applyFont="1" applyFill="1" applyBorder="1"/>
    <xf numFmtId="2" fontId="4" fillId="0" borderId="7" xfId="0" applyNumberFormat="1" applyFont="1" applyFill="1" applyBorder="1"/>
    <xf numFmtId="43" fontId="4" fillId="0" borderId="7" xfId="0" applyNumberFormat="1" applyFont="1" applyFill="1" applyBorder="1"/>
    <xf numFmtId="43" fontId="4" fillId="0" borderId="13" xfId="0" applyNumberFormat="1" applyFont="1" applyFill="1" applyBorder="1"/>
    <xf numFmtId="0" fontId="5" fillId="0" borderId="16" xfId="0" applyFont="1" applyFill="1" applyBorder="1"/>
    <xf numFmtId="0" fontId="4" fillId="0" borderId="17" xfId="0" applyFont="1" applyFill="1" applyBorder="1"/>
    <xf numFmtId="2" fontId="4" fillId="0" borderId="10" xfId="0" applyNumberFormat="1" applyFont="1" applyFill="1" applyBorder="1"/>
    <xf numFmtId="43" fontId="2" fillId="0" borderId="10" xfId="1" applyFill="1" applyBorder="1"/>
    <xf numFmtId="43" fontId="4" fillId="0" borderId="10" xfId="0" applyNumberFormat="1" applyFont="1" applyFill="1" applyBorder="1"/>
    <xf numFmtId="43" fontId="4" fillId="0" borderId="18" xfId="0" applyNumberFormat="1" applyFont="1" applyFill="1" applyBorder="1"/>
    <xf numFmtId="0" fontId="5" fillId="0" borderId="19" xfId="0" applyFont="1" applyFill="1" applyBorder="1"/>
    <xf numFmtId="2" fontId="5" fillId="0" borderId="20" xfId="0" applyNumberFormat="1" applyFont="1" applyFill="1" applyBorder="1"/>
    <xf numFmtId="2" fontId="5" fillId="0" borderId="21" xfId="0" applyNumberFormat="1" applyFont="1" applyFill="1" applyBorder="1"/>
    <xf numFmtId="43" fontId="2" fillId="0" borderId="0" xfId="1" applyFill="1"/>
    <xf numFmtId="43" fontId="2" fillId="0" borderId="7" xfId="1" applyFill="1" applyBorder="1"/>
    <xf numFmtId="165" fontId="4" fillId="0" borderId="0" xfId="0" applyNumberFormat="1" applyFont="1" applyFill="1"/>
    <xf numFmtId="43" fontId="9" fillId="0" borderId="0" xfId="1" applyFont="1" applyFill="1"/>
    <xf numFmtId="43" fontId="2" fillId="0" borderId="0" xfId="1" applyFont="1" applyFill="1"/>
    <xf numFmtId="0" fontId="3" fillId="0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/>
    <xf numFmtId="2" fontId="4" fillId="2" borderId="1" xfId="0" applyNumberFormat="1" applyFont="1" applyFill="1" applyBorder="1"/>
    <xf numFmtId="1" fontId="4" fillId="0" borderId="0" xfId="0" applyNumberFormat="1" applyFont="1" applyFill="1"/>
    <xf numFmtId="166" fontId="2" fillId="0" borderId="0" xfId="1" applyNumberFormat="1" applyFill="1"/>
    <xf numFmtId="0" fontId="3" fillId="0" borderId="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/>
    <xf numFmtId="43" fontId="0" fillId="0" borderId="1" xfId="0" applyNumberFormat="1" applyBorder="1"/>
    <xf numFmtId="0" fontId="5" fillId="0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/>
  </cellXfs>
  <cellStyles count="4">
    <cellStyle name="Comma" xfId="1" builtinId="3"/>
    <cellStyle name="Comma 10" xfId="2"/>
    <cellStyle name="Normal" xfId="0" builtinId="0"/>
    <cellStyle name="Normal 5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hargav/Limit%20Liability/23-24/OUT%20STANDING-BCS-31.07.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ing File"/>
      <sheetName val="Sheet2"/>
      <sheetName val="Reversal Entries"/>
      <sheetName val="Ouststanding Position"/>
    </sheetNames>
    <sheetDataSet>
      <sheetData sheetId="0">
        <row r="6">
          <cell r="E6">
            <v>0</v>
          </cell>
          <cell r="F6">
            <v>0</v>
          </cell>
        </row>
        <row r="7">
          <cell r="E7">
            <v>0</v>
          </cell>
          <cell r="F7">
            <v>0</v>
          </cell>
        </row>
        <row r="8">
          <cell r="E8">
            <v>0</v>
          </cell>
          <cell r="F8">
            <v>0</v>
          </cell>
        </row>
        <row r="9">
          <cell r="E9">
            <v>0</v>
          </cell>
          <cell r="F9">
            <v>0</v>
          </cell>
        </row>
        <row r="10">
          <cell r="E10">
            <v>0</v>
          </cell>
          <cell r="F10">
            <v>0</v>
          </cell>
        </row>
        <row r="11">
          <cell r="E11">
            <v>0</v>
          </cell>
          <cell r="F11">
            <v>0</v>
          </cell>
        </row>
        <row r="12">
          <cell r="E12">
            <v>0</v>
          </cell>
          <cell r="F12">
            <v>0</v>
          </cell>
        </row>
        <row r="13">
          <cell r="E13">
            <v>0</v>
          </cell>
          <cell r="F13">
            <v>0</v>
          </cell>
        </row>
        <row r="14">
          <cell r="E14">
            <v>0</v>
          </cell>
          <cell r="F14">
            <v>0</v>
          </cell>
        </row>
        <row r="15">
          <cell r="E15">
            <v>0</v>
          </cell>
          <cell r="F15">
            <v>0</v>
          </cell>
        </row>
        <row r="16">
          <cell r="E16">
            <v>0</v>
          </cell>
          <cell r="F16">
            <v>0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zoomScaleNormal="100" workbookViewId="0">
      <pane ySplit="7" topLeftCell="A44" activePane="bottomLeft" state="frozen"/>
      <selection pane="bottomLeft" activeCell="G53" activeCellId="2" sqref="D53 F53 G53"/>
    </sheetView>
  </sheetViews>
  <sheetFormatPr defaultColWidth="9.140625" defaultRowHeight="15" x14ac:dyDescent="0.25"/>
  <cols>
    <col min="1" max="1" width="25.85546875" style="7" bestFit="1" customWidth="1"/>
    <col min="2" max="2" width="11.5703125" style="7" bestFit="1" customWidth="1"/>
    <col min="3" max="3" width="12" style="7" bestFit="1" customWidth="1"/>
    <col min="4" max="4" width="15.28515625" style="7" bestFit="1" customWidth="1"/>
    <col min="5" max="5" width="12" style="7" bestFit="1" customWidth="1"/>
    <col min="6" max="6" width="15.28515625" style="7" bestFit="1" customWidth="1"/>
    <col min="7" max="7" width="12" style="7" customWidth="1"/>
    <col min="8" max="8" width="10.7109375" style="7" customWidth="1"/>
    <col min="9" max="12" width="9.140625" style="7"/>
    <col min="13" max="13" width="11.5703125" style="7" bestFit="1" customWidth="1"/>
    <col min="14" max="16384" width="9.140625" style="7"/>
  </cols>
  <sheetData>
    <row r="1" spans="1:15" x14ac:dyDescent="0.25">
      <c r="A1" s="6" t="s">
        <v>0</v>
      </c>
    </row>
    <row r="2" spans="1:15" x14ac:dyDescent="0.25">
      <c r="A2" s="6" t="s">
        <v>67</v>
      </c>
    </row>
    <row r="3" spans="1:15" x14ac:dyDescent="0.25">
      <c r="A3" s="6"/>
    </row>
    <row r="4" spans="1:15" x14ac:dyDescent="0.25">
      <c r="A4" s="6"/>
      <c r="J4" s="7">
        <v>100</v>
      </c>
    </row>
    <row r="5" spans="1:15" ht="15.75" customHeight="1" x14ac:dyDescent="0.25">
      <c r="A5" s="70" t="s">
        <v>1</v>
      </c>
      <c r="B5" s="70" t="s">
        <v>2</v>
      </c>
      <c r="C5" s="70" t="s">
        <v>3</v>
      </c>
      <c r="D5" s="70"/>
      <c r="E5" s="70" t="s">
        <v>4</v>
      </c>
      <c r="F5" s="70"/>
      <c r="G5" s="70" t="s">
        <v>5</v>
      </c>
      <c r="H5" s="70" t="s">
        <v>6</v>
      </c>
    </row>
    <row r="6" spans="1:15" ht="31.5" x14ac:dyDescent="0.25">
      <c r="A6" s="70"/>
      <c r="B6" s="70"/>
      <c r="C6" s="31" t="s">
        <v>7</v>
      </c>
      <c r="D6" s="44" t="s">
        <v>68</v>
      </c>
      <c r="E6" s="31" t="s">
        <v>7</v>
      </c>
      <c r="F6" s="65" t="s">
        <v>69</v>
      </c>
      <c r="G6" s="70"/>
      <c r="H6" s="70"/>
    </row>
    <row r="7" spans="1:15" x14ac:dyDescent="0.25">
      <c r="A7" s="8" t="s">
        <v>8</v>
      </c>
      <c r="B7" s="1" t="s">
        <v>9</v>
      </c>
      <c r="C7" s="3">
        <v>205</v>
      </c>
      <c r="D7" s="67">
        <v>10.476425900000001</v>
      </c>
      <c r="E7" s="1">
        <f>'[1]Working File'!E6</f>
        <v>0</v>
      </c>
      <c r="F7" s="1">
        <f>'[1]Working File'!F6</f>
        <v>0</v>
      </c>
      <c r="G7" s="1">
        <v>51.176613982646806</v>
      </c>
      <c r="H7" s="1">
        <v>17.079999999999998</v>
      </c>
      <c r="I7" s="60"/>
      <c r="J7" s="66"/>
      <c r="M7" s="68"/>
      <c r="N7" s="60"/>
      <c r="O7" s="11"/>
    </row>
    <row r="8" spans="1:15" x14ac:dyDescent="0.25">
      <c r="A8" s="8" t="s">
        <v>10</v>
      </c>
      <c r="B8" s="1" t="s">
        <v>9</v>
      </c>
      <c r="C8" s="3">
        <f>111+50+50+40</f>
        <v>251</v>
      </c>
      <c r="D8" s="67">
        <v>3.4501784</v>
      </c>
      <c r="E8" s="1">
        <f>'[1]Working File'!E7</f>
        <v>0</v>
      </c>
      <c r="F8" s="1">
        <f>'[1]Working File'!F7</f>
        <v>0</v>
      </c>
      <c r="G8" s="1">
        <v>53.539901367580711</v>
      </c>
      <c r="H8" s="1">
        <f>6.6+4.03+3.94+3.29</f>
        <v>17.86</v>
      </c>
      <c r="I8" s="60"/>
      <c r="J8" s="66"/>
      <c r="M8" s="68"/>
      <c r="N8" s="60"/>
      <c r="O8" s="11"/>
    </row>
    <row r="9" spans="1:15" x14ac:dyDescent="0.25">
      <c r="A9" s="8" t="s">
        <v>14</v>
      </c>
      <c r="B9" s="1" t="s">
        <v>9</v>
      </c>
      <c r="C9" s="3">
        <v>130</v>
      </c>
      <c r="D9" s="67">
        <v>6.653091703756675</v>
      </c>
      <c r="E9" s="1">
        <f>'[1]Working File'!E11</f>
        <v>0</v>
      </c>
      <c r="F9" s="1">
        <f>'[1]Working File'!F11</f>
        <v>0</v>
      </c>
      <c r="G9" s="1">
        <v>32.830209095554096</v>
      </c>
      <c r="H9" s="1">
        <v>10.95</v>
      </c>
      <c r="I9" s="60"/>
      <c r="J9" s="66"/>
      <c r="M9" s="68"/>
      <c r="N9" s="60"/>
      <c r="O9" s="11"/>
    </row>
    <row r="10" spans="1:15" x14ac:dyDescent="0.25">
      <c r="A10" s="8" t="s">
        <v>15</v>
      </c>
      <c r="B10" s="1" t="s">
        <v>9</v>
      </c>
      <c r="C10" s="3">
        <v>65</v>
      </c>
      <c r="D10" s="67">
        <v>3.0633602</v>
      </c>
      <c r="E10" s="1">
        <f>'[1]Working File'!E12</f>
        <v>0</v>
      </c>
      <c r="F10" s="1">
        <f>'[1]Working File'!F12</f>
        <v>0</v>
      </c>
      <c r="G10" s="1">
        <v>16.180674573290247</v>
      </c>
      <c r="H10" s="1">
        <v>5.4</v>
      </c>
      <c r="I10" s="60"/>
      <c r="J10" s="66"/>
      <c r="M10" s="68"/>
      <c r="N10" s="60"/>
      <c r="O10" s="11"/>
    </row>
    <row r="11" spans="1:15" x14ac:dyDescent="0.25">
      <c r="A11" s="8" t="s">
        <v>16</v>
      </c>
      <c r="B11" s="1" t="s">
        <v>9</v>
      </c>
      <c r="C11" s="3">
        <v>50</v>
      </c>
      <c r="D11" s="67">
        <v>2.5904372000000002</v>
      </c>
      <c r="E11" s="1">
        <f>'[1]Working File'!E13</f>
        <v>0</v>
      </c>
      <c r="F11" s="1">
        <f>'[1]Working File'!F13</f>
        <v>0</v>
      </c>
      <c r="G11" s="1">
        <v>12.120553623883897</v>
      </c>
      <c r="H11" s="1">
        <v>4.04</v>
      </c>
      <c r="I11" s="60"/>
      <c r="J11" s="66"/>
      <c r="M11" s="68"/>
      <c r="N11" s="60"/>
      <c r="O11" s="11"/>
    </row>
    <row r="12" spans="1:15" x14ac:dyDescent="0.25">
      <c r="A12" s="8" t="s">
        <v>17</v>
      </c>
      <c r="B12" s="1" t="s">
        <v>9</v>
      </c>
      <c r="C12" s="3">
        <v>50</v>
      </c>
      <c r="D12" s="67">
        <v>2.5856067</v>
      </c>
      <c r="E12" s="1">
        <f>'[1]Working File'!E14</f>
        <v>0</v>
      </c>
      <c r="F12" s="1">
        <f>'[1]Working File'!F14</f>
        <v>0</v>
      </c>
      <c r="G12" s="1">
        <v>12.070679643284228</v>
      </c>
      <c r="H12" s="1">
        <v>4.03</v>
      </c>
      <c r="I12" s="60"/>
      <c r="J12" s="66"/>
      <c r="M12" s="68"/>
      <c r="N12" s="60"/>
      <c r="O12" s="11"/>
    </row>
    <row r="13" spans="1:15" x14ac:dyDescent="0.25">
      <c r="A13" s="8" t="s">
        <v>18</v>
      </c>
      <c r="B13" s="1" t="s">
        <v>9</v>
      </c>
      <c r="C13" s="3">
        <v>40</v>
      </c>
      <c r="D13" s="67">
        <v>2.1688765168625586</v>
      </c>
      <c r="E13" s="1">
        <f>'[1]Working File'!E15</f>
        <v>0</v>
      </c>
      <c r="F13" s="1">
        <f>'[1]Working File'!F15</f>
        <v>0</v>
      </c>
      <c r="G13" s="1">
        <v>9.806170972692799</v>
      </c>
      <c r="H13" s="1">
        <v>3.27</v>
      </c>
      <c r="I13" s="60"/>
      <c r="J13" s="66"/>
      <c r="M13" s="68"/>
      <c r="N13" s="60"/>
      <c r="O13" s="11"/>
    </row>
    <row r="14" spans="1:15" x14ac:dyDescent="0.25">
      <c r="A14" s="8" t="s">
        <v>19</v>
      </c>
      <c r="B14" s="1" t="s">
        <v>9</v>
      </c>
      <c r="C14" s="3">
        <v>40</v>
      </c>
      <c r="D14" s="67">
        <v>2.2570777</v>
      </c>
      <c r="E14" s="1">
        <f>'[1]Working File'!E16</f>
        <v>0</v>
      </c>
      <c r="F14" s="1">
        <f>'[1]Working File'!F16</f>
        <v>0</v>
      </c>
      <c r="G14" s="1">
        <v>9.8760053360035531</v>
      </c>
      <c r="H14" s="1">
        <v>3.3</v>
      </c>
      <c r="I14" s="60"/>
      <c r="J14" s="66"/>
      <c r="M14" s="68"/>
      <c r="N14" s="60"/>
      <c r="O14" s="11"/>
    </row>
    <row r="15" spans="1:15" x14ac:dyDescent="0.25">
      <c r="A15" s="5" t="s">
        <v>20</v>
      </c>
      <c r="B15" s="8"/>
      <c r="C15" s="10">
        <f t="shared" ref="C15:H15" si="0">SUM(C7:C14)</f>
        <v>831</v>
      </c>
      <c r="D15" s="2">
        <f t="shared" si="0"/>
        <v>33.245054320619232</v>
      </c>
      <c r="E15" s="2">
        <f t="shared" si="0"/>
        <v>0</v>
      </c>
      <c r="F15" s="2">
        <f t="shared" si="0"/>
        <v>0</v>
      </c>
      <c r="G15" s="2">
        <f t="shared" si="0"/>
        <v>197.60080859493632</v>
      </c>
      <c r="H15" s="2">
        <f t="shared" si="0"/>
        <v>65.930000000000007</v>
      </c>
      <c r="I15" s="13"/>
      <c r="J15" s="13"/>
      <c r="M15" s="68"/>
    </row>
    <row r="16" spans="1:15" x14ac:dyDescent="0.25">
      <c r="A16" s="8" t="s">
        <v>8</v>
      </c>
      <c r="B16" s="1" t="s">
        <v>22</v>
      </c>
      <c r="C16" s="3">
        <v>72</v>
      </c>
      <c r="D16" s="67">
        <v>0.79186449999999997</v>
      </c>
      <c r="E16" s="13">
        <v>0</v>
      </c>
      <c r="F16" s="13">
        <v>0</v>
      </c>
      <c r="G16" s="1">
        <v>22.006510920039304</v>
      </c>
      <c r="H16" s="1">
        <v>7.45</v>
      </c>
      <c r="I16" s="60"/>
      <c r="J16" s="66"/>
      <c r="M16" s="69"/>
      <c r="N16" s="60"/>
      <c r="O16" s="11"/>
    </row>
    <row r="17" spans="1:15" x14ac:dyDescent="0.25">
      <c r="A17" s="8" t="s">
        <v>10</v>
      </c>
      <c r="B17" s="1" t="s">
        <v>22</v>
      </c>
      <c r="C17" s="3">
        <f>13.24+8.16+8.12+6.64</f>
        <v>36.159999999999997</v>
      </c>
      <c r="D17" s="67">
        <v>0</v>
      </c>
      <c r="E17" s="13">
        <v>0</v>
      </c>
      <c r="F17" s="13">
        <v>0</v>
      </c>
      <c r="G17" s="1">
        <v>9.4470435353563378</v>
      </c>
      <c r="H17" s="1">
        <f>1.3+0.72+0.64+0.54</f>
        <v>3.2</v>
      </c>
      <c r="I17" s="60"/>
      <c r="J17" s="66"/>
      <c r="M17" s="69"/>
      <c r="N17" s="60"/>
      <c r="O17" s="11"/>
    </row>
    <row r="18" spans="1:15" x14ac:dyDescent="0.25">
      <c r="A18" s="8" t="s">
        <v>14</v>
      </c>
      <c r="B18" s="1" t="s">
        <v>22</v>
      </c>
      <c r="C18" s="3">
        <v>21.42</v>
      </c>
      <c r="D18" s="67">
        <v>0.2420723201775753</v>
      </c>
      <c r="E18" s="13">
        <v>0</v>
      </c>
      <c r="F18" s="13">
        <v>0</v>
      </c>
      <c r="G18" s="1">
        <v>6.8134400089427096</v>
      </c>
      <c r="H18" s="1">
        <v>2.31</v>
      </c>
      <c r="I18" s="60"/>
      <c r="J18" s="66"/>
      <c r="M18" s="69"/>
      <c r="N18" s="60"/>
      <c r="O18" s="11"/>
    </row>
    <row r="19" spans="1:15" x14ac:dyDescent="0.25">
      <c r="A19" s="8" t="s">
        <v>15</v>
      </c>
      <c r="B19" s="1" t="s">
        <v>22</v>
      </c>
      <c r="C19" s="3">
        <v>10.88</v>
      </c>
      <c r="D19" s="67">
        <v>0.1124506</v>
      </c>
      <c r="E19" s="13">
        <v>0</v>
      </c>
      <c r="F19" s="13">
        <v>0</v>
      </c>
      <c r="G19" s="1">
        <v>2.7034293887422214</v>
      </c>
      <c r="H19" s="1">
        <v>0.92</v>
      </c>
      <c r="I19" s="60"/>
      <c r="J19" s="66"/>
      <c r="M19" s="69"/>
      <c r="N19" s="60"/>
      <c r="O19" s="11"/>
    </row>
    <row r="20" spans="1:15" x14ac:dyDescent="0.25">
      <c r="A20" s="8" t="s">
        <v>16</v>
      </c>
      <c r="B20" s="1" t="s">
        <v>22</v>
      </c>
      <c r="C20" s="3">
        <v>8.1199999999999992</v>
      </c>
      <c r="D20" s="67">
        <v>9.0470900000000007E-2</v>
      </c>
      <c r="E20" s="13">
        <v>0</v>
      </c>
      <c r="F20" s="13">
        <v>0</v>
      </c>
      <c r="G20" s="1">
        <v>1.8754435425355771</v>
      </c>
      <c r="H20" s="1">
        <v>0.63</v>
      </c>
      <c r="I20" s="60"/>
      <c r="J20" s="66"/>
      <c r="M20" s="69"/>
      <c r="N20" s="60"/>
      <c r="O20" s="11"/>
    </row>
    <row r="21" spans="1:15" x14ac:dyDescent="0.25">
      <c r="A21" s="8" t="s">
        <v>17</v>
      </c>
      <c r="B21" s="1" t="s">
        <v>22</v>
      </c>
      <c r="C21" s="3">
        <v>8.1199999999999992</v>
      </c>
      <c r="D21" s="67">
        <v>0.10796868319524112</v>
      </c>
      <c r="E21" s="13">
        <v>0</v>
      </c>
      <c r="F21" s="13">
        <v>0</v>
      </c>
      <c r="G21" s="1">
        <v>2.0350565750728848</v>
      </c>
      <c r="H21" s="1">
        <v>0.69</v>
      </c>
      <c r="I21" s="60"/>
      <c r="J21" s="66"/>
      <c r="M21" s="69"/>
      <c r="N21" s="60"/>
      <c r="O21" s="11"/>
    </row>
    <row r="22" spans="1:15" x14ac:dyDescent="0.25">
      <c r="A22" s="8" t="s">
        <v>18</v>
      </c>
      <c r="B22" s="1" t="s">
        <v>22</v>
      </c>
      <c r="C22" s="3">
        <v>6.65</v>
      </c>
      <c r="D22" s="67">
        <v>9.8491999999999996E-2</v>
      </c>
      <c r="E22" s="13">
        <v>0</v>
      </c>
      <c r="F22" s="13">
        <v>0</v>
      </c>
      <c r="G22" s="1">
        <v>1.5262909890209195</v>
      </c>
      <c r="H22" s="1">
        <v>0.52</v>
      </c>
      <c r="I22" s="60"/>
      <c r="J22" s="66"/>
      <c r="M22" s="69"/>
      <c r="N22" s="60"/>
      <c r="O22" s="11"/>
    </row>
    <row r="23" spans="1:15" x14ac:dyDescent="0.25">
      <c r="A23" s="8" t="s">
        <v>19</v>
      </c>
      <c r="B23" s="1" t="s">
        <v>22</v>
      </c>
      <c r="C23" s="3">
        <v>6.65</v>
      </c>
      <c r="D23" s="67">
        <v>9.5942100000000002E-2</v>
      </c>
      <c r="E23" s="13">
        <v>0</v>
      </c>
      <c r="F23" s="13">
        <v>0</v>
      </c>
      <c r="G23" s="1">
        <v>1.5362673773050834</v>
      </c>
      <c r="H23" s="1">
        <v>0.52</v>
      </c>
      <c r="I23" s="60"/>
      <c r="J23" s="66"/>
      <c r="M23" s="69"/>
      <c r="N23" s="60"/>
      <c r="O23" s="11"/>
    </row>
    <row r="24" spans="1:15" x14ac:dyDescent="0.25">
      <c r="A24" s="5" t="s">
        <v>20</v>
      </c>
      <c r="B24" s="8"/>
      <c r="C24" s="10">
        <f t="shared" ref="C24:H24" si="1">SUM(C16:C23)</f>
        <v>170</v>
      </c>
      <c r="D24" s="2">
        <f t="shared" si="1"/>
        <v>1.5392611033728165</v>
      </c>
      <c r="E24" s="2">
        <f t="shared" si="1"/>
        <v>0</v>
      </c>
      <c r="F24" s="2">
        <f t="shared" si="1"/>
        <v>0</v>
      </c>
      <c r="G24" s="2">
        <f t="shared" si="1"/>
        <v>47.943482337015041</v>
      </c>
      <c r="H24" s="2">
        <f t="shared" si="1"/>
        <v>16.240000000000002</v>
      </c>
      <c r="I24" s="13"/>
      <c r="L24" s="7">
        <v>1000000</v>
      </c>
      <c r="M24" s="68"/>
    </row>
    <row r="25" spans="1:15" x14ac:dyDescent="0.25">
      <c r="A25" s="8" t="s">
        <v>8</v>
      </c>
      <c r="B25" s="1" t="s">
        <v>23</v>
      </c>
      <c r="C25" s="3">
        <v>21.61</v>
      </c>
      <c r="D25" s="1">
        <v>0</v>
      </c>
      <c r="E25" s="12">
        <v>0</v>
      </c>
      <c r="F25" s="12">
        <v>0</v>
      </c>
      <c r="G25" s="1">
        <v>4.2057773476273272</v>
      </c>
      <c r="H25" s="1">
        <v>1.43</v>
      </c>
      <c r="I25" s="60"/>
      <c r="M25" s="69"/>
      <c r="N25" s="60"/>
      <c r="O25" s="11"/>
    </row>
    <row r="26" spans="1:15" x14ac:dyDescent="0.25">
      <c r="A26" s="8" t="s">
        <v>10</v>
      </c>
      <c r="B26" s="1" t="s">
        <v>23</v>
      </c>
      <c r="C26" s="3">
        <f>8.44+5.21+5.19+4.24</f>
        <v>23.08</v>
      </c>
      <c r="D26" s="1">
        <v>0</v>
      </c>
      <c r="E26" s="12">
        <v>0</v>
      </c>
      <c r="F26" s="12">
        <v>0</v>
      </c>
      <c r="G26" s="1">
        <v>4.5838610587196778</v>
      </c>
      <c r="H26" s="1">
        <f>0.57+0.35+0.35+0.29</f>
        <v>1.56</v>
      </c>
      <c r="I26" s="60"/>
      <c r="M26" s="69"/>
      <c r="N26" s="60"/>
      <c r="O26" s="11"/>
    </row>
    <row r="27" spans="1:15" x14ac:dyDescent="0.25">
      <c r="A27" s="8" t="s">
        <v>14</v>
      </c>
      <c r="B27" s="1" t="s">
        <v>23</v>
      </c>
      <c r="C27" s="3">
        <v>13.68</v>
      </c>
      <c r="D27" s="1">
        <v>0</v>
      </c>
      <c r="E27" s="12">
        <v>0</v>
      </c>
      <c r="F27" s="12">
        <v>0</v>
      </c>
      <c r="G27" s="1">
        <v>2.7692692691101022</v>
      </c>
      <c r="H27" s="1">
        <v>0.94</v>
      </c>
      <c r="M27" s="69"/>
      <c r="N27" s="60"/>
      <c r="O27" s="11"/>
    </row>
    <row r="28" spans="1:15" x14ac:dyDescent="0.25">
      <c r="A28" s="8" t="s">
        <v>15</v>
      </c>
      <c r="B28" s="1" t="s">
        <v>23</v>
      </c>
      <c r="C28" s="3">
        <v>6.95</v>
      </c>
      <c r="D28" s="1">
        <v>0</v>
      </c>
      <c r="E28" s="12">
        <v>0</v>
      </c>
      <c r="F28" s="12">
        <v>0</v>
      </c>
      <c r="G28" s="1">
        <v>1.3367510378511283</v>
      </c>
      <c r="H28" s="1">
        <v>0.45</v>
      </c>
      <c r="M28" s="69"/>
      <c r="N28" s="60"/>
      <c r="O28" s="11"/>
    </row>
    <row r="29" spans="1:15" x14ac:dyDescent="0.25">
      <c r="A29" s="8" t="s">
        <v>16</v>
      </c>
      <c r="B29" s="1" t="s">
        <v>23</v>
      </c>
      <c r="C29" s="3">
        <v>5.19</v>
      </c>
      <c r="D29" s="1">
        <v>0</v>
      </c>
      <c r="E29" s="12">
        <v>0</v>
      </c>
      <c r="F29" s="12">
        <v>0</v>
      </c>
      <c r="G29" s="1">
        <v>1.0374793869376362</v>
      </c>
      <c r="H29" s="1">
        <v>0.35</v>
      </c>
      <c r="M29" s="69"/>
      <c r="N29" s="60"/>
      <c r="O29" s="11"/>
    </row>
    <row r="30" spans="1:15" x14ac:dyDescent="0.25">
      <c r="A30" s="8" t="s">
        <v>17</v>
      </c>
      <c r="B30" s="1" t="s">
        <v>23</v>
      </c>
      <c r="C30" s="3">
        <v>5.19</v>
      </c>
      <c r="D30" s="1">
        <v>0</v>
      </c>
      <c r="E30" s="12">
        <v>0</v>
      </c>
      <c r="F30" s="12">
        <v>0</v>
      </c>
      <c r="G30" s="1">
        <v>0.96764943165799933</v>
      </c>
      <c r="H30" s="1">
        <v>0.33</v>
      </c>
      <c r="M30" s="69"/>
      <c r="N30" s="60"/>
      <c r="O30" s="11"/>
    </row>
    <row r="31" spans="1:15" x14ac:dyDescent="0.25">
      <c r="A31" s="8" t="s">
        <v>18</v>
      </c>
      <c r="B31" s="1" t="s">
        <v>23</v>
      </c>
      <c r="C31" s="3">
        <v>4.25</v>
      </c>
      <c r="D31" s="1">
        <v>0</v>
      </c>
      <c r="E31" s="12">
        <v>0</v>
      </c>
      <c r="F31" s="12">
        <v>0</v>
      </c>
      <c r="G31" s="1">
        <v>0.84793942234910269</v>
      </c>
      <c r="H31" s="1">
        <v>0.28999999999999998</v>
      </c>
      <c r="M31" s="69"/>
      <c r="N31" s="60"/>
      <c r="O31" s="11"/>
    </row>
    <row r="32" spans="1:15" x14ac:dyDescent="0.25">
      <c r="A32" s="8" t="s">
        <v>19</v>
      </c>
      <c r="B32" s="1" t="s">
        <v>23</v>
      </c>
      <c r="C32" s="3">
        <v>4.25</v>
      </c>
      <c r="D32" s="1">
        <v>0</v>
      </c>
      <c r="E32" s="12">
        <v>0</v>
      </c>
      <c r="F32" s="12">
        <v>0</v>
      </c>
      <c r="G32" s="1">
        <v>0.84793977017902455</v>
      </c>
      <c r="H32" s="1">
        <v>0.28999999999999998</v>
      </c>
      <c r="M32" s="69"/>
      <c r="N32" s="60"/>
      <c r="O32" s="11"/>
    </row>
    <row r="33" spans="1:15" x14ac:dyDescent="0.25">
      <c r="A33" s="5" t="s">
        <v>20</v>
      </c>
      <c r="B33" s="8"/>
      <c r="C33" s="10">
        <f t="shared" ref="C33:H33" si="2">SUM(C25:C32)</f>
        <v>84.199999999999989</v>
      </c>
      <c r="D33" s="2">
        <f t="shared" si="2"/>
        <v>0</v>
      </c>
      <c r="E33" s="2">
        <f t="shared" si="2"/>
        <v>0</v>
      </c>
      <c r="F33" s="2">
        <f t="shared" si="2"/>
        <v>0</v>
      </c>
      <c r="G33" s="2">
        <f t="shared" si="2"/>
        <v>16.596666724432001</v>
      </c>
      <c r="H33" s="2">
        <f t="shared" si="2"/>
        <v>5.64</v>
      </c>
      <c r="L33" s="7">
        <v>1000000</v>
      </c>
      <c r="M33" s="68"/>
    </row>
    <row r="34" spans="1:15" x14ac:dyDescent="0.25">
      <c r="A34" s="8" t="s">
        <v>8</v>
      </c>
      <c r="B34" s="1" t="s">
        <v>21</v>
      </c>
      <c r="C34" s="3">
        <v>32.54</v>
      </c>
      <c r="D34" s="3">
        <v>30.409123600000001</v>
      </c>
      <c r="E34" s="3">
        <v>19.8</v>
      </c>
      <c r="F34" s="3">
        <v>15.09</v>
      </c>
      <c r="G34" s="1">
        <v>21.437892459734194</v>
      </c>
      <c r="H34" s="1">
        <v>7.32</v>
      </c>
      <c r="M34" s="68"/>
      <c r="N34" s="60"/>
      <c r="O34" s="11"/>
    </row>
    <row r="35" spans="1:15" x14ac:dyDescent="0.25">
      <c r="A35" s="8" t="s">
        <v>10</v>
      </c>
      <c r="B35" s="1" t="s">
        <v>21</v>
      </c>
      <c r="C35" s="3">
        <v>67</v>
      </c>
      <c r="D35" s="3">
        <v>67.099015899999998</v>
      </c>
      <c r="E35" s="3">
        <v>53.13</v>
      </c>
      <c r="F35" s="3">
        <v>1.77</v>
      </c>
      <c r="G35" s="1">
        <v>44.910864747729924</v>
      </c>
      <c r="H35" s="1">
        <f>10.81+3.49+1.04</f>
        <v>15.34</v>
      </c>
      <c r="M35" s="68"/>
      <c r="N35" s="60"/>
      <c r="O35" s="11"/>
    </row>
    <row r="36" spans="1:15" x14ac:dyDescent="0.25">
      <c r="A36" s="8" t="s">
        <v>14</v>
      </c>
      <c r="B36" s="1" t="s">
        <v>21</v>
      </c>
      <c r="C36" s="3">
        <v>24.01</v>
      </c>
      <c r="D36" s="3">
        <v>24.011054300000001</v>
      </c>
      <c r="E36" s="3">
        <v>5.94</v>
      </c>
      <c r="F36" s="13">
        <v>0</v>
      </c>
      <c r="G36" s="1">
        <v>15.817555203257692</v>
      </c>
      <c r="H36" s="1">
        <v>5.41</v>
      </c>
      <c r="M36" s="68"/>
      <c r="N36" s="60"/>
      <c r="O36" s="11"/>
    </row>
    <row r="37" spans="1:15" x14ac:dyDescent="0.25">
      <c r="A37" s="8" t="s">
        <v>15</v>
      </c>
      <c r="B37" s="1" t="s">
        <v>21</v>
      </c>
      <c r="C37" s="3">
        <v>12.4</v>
      </c>
      <c r="D37" s="3">
        <v>10.7400614</v>
      </c>
      <c r="E37" s="3">
        <v>4.8600000000000003</v>
      </c>
      <c r="F37" s="13">
        <v>0</v>
      </c>
      <c r="G37" s="1">
        <v>8.1701424839560399</v>
      </c>
      <c r="H37" s="1">
        <v>2.79</v>
      </c>
      <c r="M37" s="68"/>
      <c r="N37" s="60"/>
      <c r="O37" s="11"/>
    </row>
    <row r="38" spans="1:15" x14ac:dyDescent="0.25">
      <c r="A38" s="8" t="s">
        <v>16</v>
      </c>
      <c r="B38" s="1" t="s">
        <v>21</v>
      </c>
      <c r="C38" s="3">
        <v>15.5</v>
      </c>
      <c r="D38" s="3">
        <v>15.487606400000001</v>
      </c>
      <c r="E38" s="3">
        <v>7.92</v>
      </c>
      <c r="F38" s="13">
        <v>0</v>
      </c>
      <c r="G38" s="1">
        <v>10.215181589287559</v>
      </c>
      <c r="H38" s="1">
        <v>3.49</v>
      </c>
      <c r="M38" s="68"/>
      <c r="N38" s="60"/>
      <c r="O38" s="11"/>
    </row>
    <row r="39" spans="1:15" x14ac:dyDescent="0.25">
      <c r="A39" s="8" t="s">
        <v>17</v>
      </c>
      <c r="B39" s="1" t="s">
        <v>21</v>
      </c>
      <c r="C39" s="3">
        <v>11.63</v>
      </c>
      <c r="D39" s="3">
        <v>9.0671160999999998</v>
      </c>
      <c r="E39" s="3">
        <v>1.98</v>
      </c>
      <c r="F39" s="13">
        <v>0</v>
      </c>
      <c r="G39" s="1">
        <v>7.6613892645351944</v>
      </c>
      <c r="H39" s="1">
        <v>2.62</v>
      </c>
      <c r="M39" s="68"/>
      <c r="N39" s="60"/>
      <c r="O39" s="11"/>
    </row>
    <row r="40" spans="1:15" x14ac:dyDescent="0.25">
      <c r="A40" s="5" t="s">
        <v>20</v>
      </c>
      <c r="B40" s="8"/>
      <c r="C40" s="10">
        <f>SUM(C34:C39)-0.02</f>
        <v>163.05999999999997</v>
      </c>
      <c r="D40" s="2">
        <f>SUM(D34:D39)</f>
        <v>156.81397769999998</v>
      </c>
      <c r="E40" s="2">
        <f>SUM(E34:E39)</f>
        <v>93.63000000000001</v>
      </c>
      <c r="F40" s="2">
        <f>SUM(F34:F39)</f>
        <v>16.86</v>
      </c>
      <c r="G40" s="2">
        <f>SUM(G34:G39)</f>
        <v>108.2130257485006</v>
      </c>
      <c r="H40" s="2">
        <f>SUM(H34:H39)</f>
        <v>36.97</v>
      </c>
      <c r="L40" s="7">
        <v>1000000</v>
      </c>
      <c r="M40" s="68"/>
    </row>
    <row r="41" spans="1:15" x14ac:dyDescent="0.25">
      <c r="A41" s="8"/>
      <c r="B41" s="8"/>
      <c r="C41" s="8"/>
      <c r="D41" s="8"/>
      <c r="E41" s="8"/>
      <c r="F41" s="8"/>
      <c r="G41" s="8"/>
      <c r="H41" s="8"/>
    </row>
    <row r="42" spans="1:15" x14ac:dyDescent="0.25">
      <c r="A42" s="5" t="s">
        <v>20</v>
      </c>
      <c r="B42" s="8"/>
      <c r="C42" s="2">
        <f t="shared" ref="C42:H42" si="3">C33+C24+C15+C40</f>
        <v>1248.26</v>
      </c>
      <c r="D42" s="2">
        <f t="shared" si="3"/>
        <v>191.59829312399202</v>
      </c>
      <c r="E42" s="2">
        <f t="shared" si="3"/>
        <v>93.63000000000001</v>
      </c>
      <c r="F42" s="2">
        <f t="shared" si="3"/>
        <v>16.86</v>
      </c>
      <c r="G42" s="2">
        <f t="shared" si="3"/>
        <v>370.35398340488393</v>
      </c>
      <c r="H42" s="2">
        <f t="shared" si="3"/>
        <v>124.78</v>
      </c>
    </row>
    <row r="43" spans="1:15" x14ac:dyDescent="0.25">
      <c r="A43" s="36"/>
      <c r="B43" s="37"/>
      <c r="C43" s="37"/>
      <c r="D43" s="37"/>
      <c r="E43" s="37"/>
      <c r="F43" s="37"/>
      <c r="G43" s="37"/>
      <c r="H43" s="38"/>
    </row>
    <row r="44" spans="1:15" x14ac:dyDescent="0.25">
      <c r="A44" s="36"/>
      <c r="B44" s="37"/>
      <c r="C44" s="37"/>
      <c r="D44" s="37"/>
      <c r="E44" s="37"/>
      <c r="F44" s="37"/>
      <c r="G44" s="37"/>
      <c r="H44" s="38"/>
    </row>
    <row r="45" spans="1:15" x14ac:dyDescent="0.25">
      <c r="A45" s="8" t="s">
        <v>8</v>
      </c>
      <c r="B45" s="8"/>
      <c r="C45" s="1">
        <f t="shared" ref="C45:H50" si="4">C7+C16+C25+C34</f>
        <v>331.15000000000003</v>
      </c>
      <c r="D45" s="1">
        <f t="shared" si="4"/>
        <v>41.677413999999999</v>
      </c>
      <c r="E45" s="1">
        <f t="shared" si="4"/>
        <v>19.8</v>
      </c>
      <c r="F45" s="1">
        <f t="shared" si="4"/>
        <v>15.09</v>
      </c>
      <c r="G45" s="1">
        <f t="shared" si="4"/>
        <v>98.826794710047636</v>
      </c>
      <c r="H45" s="1">
        <f t="shared" si="4"/>
        <v>33.28</v>
      </c>
    </row>
    <row r="46" spans="1:15" x14ac:dyDescent="0.25">
      <c r="A46" s="8" t="s">
        <v>10</v>
      </c>
      <c r="B46" s="8"/>
      <c r="C46" s="1">
        <f t="shared" si="4"/>
        <v>377.23999999999995</v>
      </c>
      <c r="D46" s="1">
        <f t="shared" si="4"/>
        <v>70.549194299999996</v>
      </c>
      <c r="E46" s="1">
        <f t="shared" si="4"/>
        <v>53.13</v>
      </c>
      <c r="F46" s="1">
        <f t="shared" si="4"/>
        <v>1.77</v>
      </c>
      <c r="G46" s="1">
        <f t="shared" si="4"/>
        <v>112.48167070938666</v>
      </c>
      <c r="H46" s="1">
        <f t="shared" si="4"/>
        <v>37.959999999999994</v>
      </c>
    </row>
    <row r="47" spans="1:15" x14ac:dyDescent="0.25">
      <c r="A47" s="8" t="s">
        <v>14</v>
      </c>
      <c r="B47" s="8"/>
      <c r="C47" s="1">
        <f t="shared" si="4"/>
        <v>189.11</v>
      </c>
      <c r="D47" s="1">
        <f t="shared" si="4"/>
        <v>30.906218323934251</v>
      </c>
      <c r="E47" s="1">
        <f t="shared" si="4"/>
        <v>5.94</v>
      </c>
      <c r="F47" s="1">
        <f t="shared" si="4"/>
        <v>0</v>
      </c>
      <c r="G47" s="1">
        <f t="shared" si="4"/>
        <v>58.230473576864597</v>
      </c>
      <c r="H47" s="1">
        <f t="shared" si="4"/>
        <v>19.61</v>
      </c>
    </row>
    <row r="48" spans="1:15" x14ac:dyDescent="0.25">
      <c r="A48" s="8" t="s">
        <v>15</v>
      </c>
      <c r="B48" s="8"/>
      <c r="C48" s="1">
        <f t="shared" si="4"/>
        <v>95.23</v>
      </c>
      <c r="D48" s="1">
        <f t="shared" si="4"/>
        <v>13.915872199999999</v>
      </c>
      <c r="E48" s="1">
        <f t="shared" si="4"/>
        <v>4.8600000000000003</v>
      </c>
      <c r="F48" s="1">
        <f t="shared" si="4"/>
        <v>0</v>
      </c>
      <c r="G48" s="1">
        <f t="shared" si="4"/>
        <v>28.390997483839641</v>
      </c>
      <c r="H48" s="1">
        <f t="shared" si="4"/>
        <v>9.56</v>
      </c>
    </row>
    <row r="49" spans="1:8" x14ac:dyDescent="0.25">
      <c r="A49" s="8" t="s">
        <v>16</v>
      </c>
      <c r="B49" s="8"/>
      <c r="C49" s="1">
        <f t="shared" si="4"/>
        <v>78.81</v>
      </c>
      <c r="D49" s="1">
        <f t="shared" si="4"/>
        <v>18.168514500000001</v>
      </c>
      <c r="E49" s="1">
        <f t="shared" si="4"/>
        <v>7.92</v>
      </c>
      <c r="F49" s="1">
        <f t="shared" si="4"/>
        <v>0</v>
      </c>
      <c r="G49" s="1">
        <f t="shared" si="4"/>
        <v>25.248658142644672</v>
      </c>
      <c r="H49" s="1">
        <f t="shared" si="4"/>
        <v>8.51</v>
      </c>
    </row>
    <row r="50" spans="1:8" x14ac:dyDescent="0.25">
      <c r="A50" s="8" t="s">
        <v>17</v>
      </c>
      <c r="B50" s="8"/>
      <c r="C50" s="1">
        <f t="shared" si="4"/>
        <v>74.94</v>
      </c>
      <c r="D50" s="1">
        <f t="shared" si="4"/>
        <v>11.760691483195242</v>
      </c>
      <c r="E50" s="1">
        <f t="shared" si="4"/>
        <v>1.98</v>
      </c>
      <c r="F50" s="1">
        <f t="shared" si="4"/>
        <v>0</v>
      </c>
      <c r="G50" s="1">
        <f t="shared" si="4"/>
        <v>22.734774914550307</v>
      </c>
      <c r="H50" s="1">
        <f t="shared" si="4"/>
        <v>7.6700000000000008</v>
      </c>
    </row>
    <row r="51" spans="1:8" x14ac:dyDescent="0.25">
      <c r="A51" s="8" t="s">
        <v>18</v>
      </c>
      <c r="B51" s="8"/>
      <c r="C51" s="1">
        <f t="shared" ref="C51:H52" si="5">C13+C22+C31</f>
        <v>50.9</v>
      </c>
      <c r="D51" s="1">
        <f t="shared" si="5"/>
        <v>2.2673685168625584</v>
      </c>
      <c r="E51" s="1">
        <f t="shared" si="5"/>
        <v>0</v>
      </c>
      <c r="F51" s="1">
        <f t="shared" si="5"/>
        <v>0</v>
      </c>
      <c r="G51" s="1">
        <f t="shared" si="5"/>
        <v>12.180401384062822</v>
      </c>
      <c r="H51" s="1">
        <f t="shared" si="5"/>
        <v>4.08</v>
      </c>
    </row>
    <row r="52" spans="1:8" x14ac:dyDescent="0.25">
      <c r="A52" s="8" t="s">
        <v>19</v>
      </c>
      <c r="B52" s="8"/>
      <c r="C52" s="1">
        <f t="shared" si="5"/>
        <v>50.9</v>
      </c>
      <c r="D52" s="1">
        <f t="shared" si="5"/>
        <v>2.3530197999999998</v>
      </c>
      <c r="E52" s="1">
        <f t="shared" si="5"/>
        <v>0</v>
      </c>
      <c r="F52" s="1">
        <f t="shared" si="5"/>
        <v>0</v>
      </c>
      <c r="G52" s="1">
        <f t="shared" si="5"/>
        <v>12.260212483487662</v>
      </c>
      <c r="H52" s="1">
        <f t="shared" si="5"/>
        <v>4.1099999999999994</v>
      </c>
    </row>
    <row r="53" spans="1:8" x14ac:dyDescent="0.25">
      <c r="A53" s="5" t="s">
        <v>20</v>
      </c>
      <c r="B53" s="8"/>
      <c r="C53" s="2">
        <f>SUM(C45:C52)</f>
        <v>1248.2800000000002</v>
      </c>
      <c r="D53" s="2">
        <f>SUM(D45:D52)</f>
        <v>191.59829312399202</v>
      </c>
      <c r="E53" s="2">
        <f t="shared" ref="E53:F53" si="6">SUM(E45:E52)</f>
        <v>93.63000000000001</v>
      </c>
      <c r="F53" s="2">
        <f t="shared" si="6"/>
        <v>16.86</v>
      </c>
      <c r="G53" s="2">
        <f>SUM(G45:G52)</f>
        <v>370.35398340488393</v>
      </c>
      <c r="H53" s="2">
        <f>SUM(H45:H52)</f>
        <v>124.78</v>
      </c>
    </row>
    <row r="54" spans="1:8" x14ac:dyDescent="0.25">
      <c r="G54" s="11"/>
    </row>
    <row r="56" spans="1:8" x14ac:dyDescent="0.25">
      <c r="G56" s="11"/>
      <c r="H56" s="11"/>
    </row>
  </sheetData>
  <mergeCells count="6">
    <mergeCell ref="H5:H6"/>
    <mergeCell ref="A5:A6"/>
    <mergeCell ref="B5:B6"/>
    <mergeCell ref="C5:D5"/>
    <mergeCell ref="E5:F5"/>
    <mergeCell ref="G5:G6"/>
  </mergeCells>
  <pageMargins left="0.7" right="0.7" top="0.75" bottom="0.75" header="0.3" footer="0.3"/>
  <pageSetup paperSize="9" scale="76" orientation="portrait" verticalDpi="0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workbookViewId="0">
      <selection activeCell="C13" sqref="C13"/>
    </sheetView>
  </sheetViews>
  <sheetFormatPr defaultColWidth="9.140625" defaultRowHeight="15" x14ac:dyDescent="0.25"/>
  <cols>
    <col min="1" max="1" width="14.5703125" style="7" customWidth="1"/>
    <col min="2" max="3" width="10.28515625" style="7" bestFit="1" customWidth="1"/>
    <col min="4" max="4" width="7.85546875" style="7" bestFit="1" customWidth="1"/>
    <col min="5" max="5" width="7.42578125" style="7" bestFit="1" customWidth="1"/>
    <col min="6" max="7" width="7.7109375" style="7" bestFit="1" customWidth="1"/>
    <col min="8" max="8" width="6.7109375" style="7" bestFit="1" customWidth="1"/>
    <col min="9" max="9" width="7.42578125" style="7" bestFit="1" customWidth="1"/>
    <col min="10" max="10" width="11.28515625" style="7" bestFit="1" customWidth="1"/>
    <col min="11" max="11" width="12.28515625" style="7" bestFit="1" customWidth="1"/>
    <col min="12" max="12" width="8.140625" style="7" bestFit="1" customWidth="1"/>
    <col min="13" max="13" width="7.7109375" style="7" bestFit="1" customWidth="1"/>
    <col min="14" max="14" width="13.5703125" style="7" bestFit="1" customWidth="1"/>
    <col min="15" max="15" width="9.140625" style="7"/>
    <col min="16" max="16" width="10.28515625" style="7" bestFit="1" customWidth="1"/>
    <col min="17" max="16384" width="9.140625" style="7"/>
  </cols>
  <sheetData>
    <row r="1" spans="1:16" x14ac:dyDescent="0.25">
      <c r="A1" s="6" t="str">
        <f>'Ouststanding Position'!A1</f>
        <v>NSL Textiles Ltd.</v>
      </c>
      <c r="B1" s="6"/>
    </row>
    <row r="2" spans="1:16" x14ac:dyDescent="0.25">
      <c r="A2" s="6" t="str">
        <f>'Ouststanding Position'!A2</f>
        <v>Details of Loans O/S as on 31.10.23</v>
      </c>
      <c r="B2" s="6"/>
    </row>
    <row r="3" spans="1:16" ht="15.75" thickBot="1" x14ac:dyDescent="0.3">
      <c r="A3" s="6"/>
      <c r="B3" s="6"/>
    </row>
    <row r="4" spans="1:16" s="6" customFormat="1" x14ac:dyDescent="0.25">
      <c r="A4" s="75" t="s">
        <v>1</v>
      </c>
      <c r="B4" s="77" t="s">
        <v>32</v>
      </c>
      <c r="C4" s="77"/>
      <c r="D4" s="77" t="s">
        <v>50</v>
      </c>
      <c r="E4" s="77"/>
      <c r="F4" s="77" t="s">
        <v>57</v>
      </c>
      <c r="G4" s="77"/>
      <c r="H4" s="77" t="s">
        <v>58</v>
      </c>
      <c r="I4" s="77"/>
      <c r="J4" s="77" t="s">
        <v>53</v>
      </c>
      <c r="K4" s="77"/>
      <c r="L4" s="71" t="s">
        <v>34</v>
      </c>
      <c r="M4" s="71" t="s">
        <v>59</v>
      </c>
      <c r="N4" s="73" t="s">
        <v>54</v>
      </c>
    </row>
    <row r="5" spans="1:16" ht="15.75" customHeight="1" thickBot="1" x14ac:dyDescent="0.3">
      <c r="A5" s="76"/>
      <c r="B5" s="51" t="s">
        <v>51</v>
      </c>
      <c r="C5" s="51" t="s">
        <v>56</v>
      </c>
      <c r="D5" s="51" t="s">
        <v>51</v>
      </c>
      <c r="E5" s="51" t="s">
        <v>56</v>
      </c>
      <c r="F5" s="51" t="s">
        <v>51</v>
      </c>
      <c r="G5" s="51" t="s">
        <v>56</v>
      </c>
      <c r="H5" s="51" t="s">
        <v>51</v>
      </c>
      <c r="I5" s="51" t="s">
        <v>56</v>
      </c>
      <c r="J5" s="51" t="s">
        <v>52</v>
      </c>
      <c r="K5" s="51" t="s">
        <v>55</v>
      </c>
      <c r="L5" s="72"/>
      <c r="M5" s="72"/>
      <c r="N5" s="74"/>
    </row>
    <row r="6" spans="1:16" x14ac:dyDescent="0.25">
      <c r="A6" s="47" t="s">
        <v>8</v>
      </c>
      <c r="B6" s="48">
        <f>'Ouststanding Position'!C7</f>
        <v>205</v>
      </c>
      <c r="C6" s="61">
        <f>'Ouststanding Position'!D7</f>
        <v>10.476425900000001</v>
      </c>
      <c r="D6" s="48">
        <f>'Ouststanding Position'!C16</f>
        <v>72</v>
      </c>
      <c r="E6" s="61">
        <f>'Ouststanding Position'!D16</f>
        <v>0.79186449999999997</v>
      </c>
      <c r="F6" s="48">
        <f>'Ouststanding Position'!C34</f>
        <v>32.54</v>
      </c>
      <c r="G6" s="48">
        <f>'Ouststanding Position'!D34</f>
        <v>30.409123600000001</v>
      </c>
      <c r="H6" s="48">
        <f>'Ouststanding Position'!E34</f>
        <v>19.8</v>
      </c>
      <c r="I6" s="48">
        <f>'Ouststanding Position'!F34</f>
        <v>15.09</v>
      </c>
      <c r="J6" s="48">
        <f>B6+D6+F6+H6</f>
        <v>329.34000000000003</v>
      </c>
      <c r="K6" s="48">
        <f>C6+E6+G6+I6</f>
        <v>56.767414000000002</v>
      </c>
      <c r="L6" s="49">
        <v>98.883858679289816</v>
      </c>
      <c r="M6" s="49">
        <f>'Ouststanding Position'!H45</f>
        <v>33.28</v>
      </c>
      <c r="N6" s="50">
        <f>K6+L6+M6</f>
        <v>188.93127267928983</v>
      </c>
      <c r="P6" s="62"/>
    </row>
    <row r="7" spans="1:16" x14ac:dyDescent="0.25">
      <c r="A7" s="45" t="s">
        <v>10</v>
      </c>
      <c r="B7" s="3">
        <f>'Ouststanding Position'!C8</f>
        <v>251</v>
      </c>
      <c r="C7" s="13">
        <f>'Ouststanding Position'!D8</f>
        <v>3.4501784</v>
      </c>
      <c r="D7" s="3">
        <f>'Ouststanding Position'!C17</f>
        <v>36.159999999999997</v>
      </c>
      <c r="E7" s="13">
        <f>'Ouststanding Position'!D17</f>
        <v>0</v>
      </c>
      <c r="F7" s="3">
        <f>'Ouststanding Position'!C35</f>
        <v>67</v>
      </c>
      <c r="G7" s="3">
        <f>'Ouststanding Position'!D35</f>
        <v>67.099015899999998</v>
      </c>
      <c r="H7" s="3">
        <f>'Ouststanding Position'!E35</f>
        <v>53.13</v>
      </c>
      <c r="I7" s="3">
        <f>'Ouststanding Position'!F35</f>
        <v>1.77</v>
      </c>
      <c r="J7" s="3">
        <f t="shared" ref="J7:K12" si="0">B7+D7+F7+H7</f>
        <v>407.28999999999996</v>
      </c>
      <c r="K7" s="3">
        <f t="shared" si="0"/>
        <v>72.319194299999992</v>
      </c>
      <c r="L7" s="1">
        <v>112.49765945240071</v>
      </c>
      <c r="M7" s="1">
        <f>'Ouststanding Position'!H46</f>
        <v>37.959999999999994</v>
      </c>
      <c r="N7" s="46">
        <f t="shared" ref="N7:N12" si="1">K7+L7+M7</f>
        <v>222.77685375240071</v>
      </c>
      <c r="P7" s="62"/>
    </row>
    <row r="8" spans="1:16" x14ac:dyDescent="0.25">
      <c r="A8" s="45" t="s">
        <v>60</v>
      </c>
      <c r="B8" s="3">
        <f>'Ouststanding Position'!C9</f>
        <v>130</v>
      </c>
      <c r="C8" s="13">
        <f>'Ouststanding Position'!D9</f>
        <v>6.653091703756675</v>
      </c>
      <c r="D8" s="3">
        <f>'Ouststanding Position'!C18</f>
        <v>21.42</v>
      </c>
      <c r="E8" s="13">
        <f>'Ouststanding Position'!D18</f>
        <v>0.2420723201775753</v>
      </c>
      <c r="F8" s="3">
        <f>'Ouststanding Position'!C36</f>
        <v>24.01</v>
      </c>
      <c r="G8" s="3">
        <f>'Ouststanding Position'!D36</f>
        <v>24.011054300000001</v>
      </c>
      <c r="H8" s="3">
        <f>'Ouststanding Position'!E36</f>
        <v>5.94</v>
      </c>
      <c r="I8" s="13">
        <f>'Ouststanding Position'!F36</f>
        <v>0</v>
      </c>
      <c r="J8" s="3">
        <f t="shared" si="0"/>
        <v>181.37</v>
      </c>
      <c r="K8" s="3">
        <f t="shared" si="0"/>
        <v>30.906218323934251</v>
      </c>
      <c r="L8" s="1">
        <v>58.259188323713182</v>
      </c>
      <c r="M8" s="1">
        <f>'Ouststanding Position'!H47</f>
        <v>19.61</v>
      </c>
      <c r="N8" s="46">
        <f t="shared" si="1"/>
        <v>108.77540664764743</v>
      </c>
      <c r="P8" s="62"/>
    </row>
    <row r="9" spans="1:16" x14ac:dyDescent="0.25">
      <c r="A9" s="45" t="s">
        <v>15</v>
      </c>
      <c r="B9" s="3">
        <f>'Ouststanding Position'!C10</f>
        <v>65</v>
      </c>
      <c r="C9" s="13">
        <f>'Ouststanding Position'!D10</f>
        <v>3.0633602</v>
      </c>
      <c r="D9" s="3">
        <f>'Ouststanding Position'!C19</f>
        <v>10.88</v>
      </c>
      <c r="E9" s="13">
        <f>'Ouststanding Position'!D19</f>
        <v>0.1124506</v>
      </c>
      <c r="F9" s="3">
        <v>12.39</v>
      </c>
      <c r="G9" s="3">
        <f>'Ouststanding Position'!D37</f>
        <v>10.7400614</v>
      </c>
      <c r="H9" s="3">
        <f>'Ouststanding Position'!E37</f>
        <v>4.8600000000000003</v>
      </c>
      <c r="I9" s="13">
        <f>'Ouststanding Position'!F37</f>
        <v>0</v>
      </c>
      <c r="J9" s="3">
        <f t="shared" si="0"/>
        <v>93.13</v>
      </c>
      <c r="K9" s="3">
        <f t="shared" si="0"/>
        <v>13.915872199999999</v>
      </c>
      <c r="L9" s="1">
        <v>28.404659669826483</v>
      </c>
      <c r="M9" s="1">
        <f>'Ouststanding Position'!H48</f>
        <v>9.56</v>
      </c>
      <c r="N9" s="46">
        <f t="shared" si="1"/>
        <v>51.880531869826484</v>
      </c>
      <c r="P9" s="62"/>
    </row>
    <row r="10" spans="1:16" x14ac:dyDescent="0.25">
      <c r="A10" s="45" t="s">
        <v>16</v>
      </c>
      <c r="B10" s="3">
        <f>'Ouststanding Position'!C11+'Ouststanding Position'!C14</f>
        <v>90</v>
      </c>
      <c r="C10" s="13">
        <f>'Ouststanding Position'!D11+'Ouststanding Position'!D14</f>
        <v>4.8475149000000002</v>
      </c>
      <c r="D10" s="3">
        <f>'Ouststanding Position'!C20+'Ouststanding Position'!C23</f>
        <v>14.77</v>
      </c>
      <c r="E10" s="13">
        <f>'Ouststanding Position'!D20+'Ouststanding Position'!D23</f>
        <v>0.186413</v>
      </c>
      <c r="F10" s="3">
        <f>'Ouststanding Position'!C38</f>
        <v>15.5</v>
      </c>
      <c r="G10" s="3">
        <f>'Ouststanding Position'!D38</f>
        <v>15.487606400000001</v>
      </c>
      <c r="H10" s="3">
        <f>'Ouststanding Position'!E38</f>
        <v>7.92</v>
      </c>
      <c r="I10" s="13">
        <f>'Ouststanding Position'!F38</f>
        <v>0</v>
      </c>
      <c r="J10" s="3">
        <f t="shared" si="0"/>
        <v>128.19</v>
      </c>
      <c r="K10" s="3">
        <f t="shared" si="0"/>
        <v>20.521534299999999</v>
      </c>
      <c r="L10" s="1">
        <v>37.50211356836423</v>
      </c>
      <c r="M10" s="1">
        <f>'Ouststanding Position'!H49+'Ouststanding Position'!H52</f>
        <v>12.62</v>
      </c>
      <c r="N10" s="46">
        <f t="shared" si="1"/>
        <v>70.643647868364226</v>
      </c>
      <c r="P10" s="62"/>
    </row>
    <row r="11" spans="1:16" x14ac:dyDescent="0.25">
      <c r="A11" s="45" t="s">
        <v>17</v>
      </c>
      <c r="B11" s="3">
        <f>'Ouststanding Position'!C12</f>
        <v>50</v>
      </c>
      <c r="C11" s="13">
        <f>'Ouststanding Position'!D12</f>
        <v>2.5856067</v>
      </c>
      <c r="D11" s="3">
        <f>'Ouststanding Position'!C21</f>
        <v>8.1199999999999992</v>
      </c>
      <c r="E11" s="13">
        <f>'Ouststanding Position'!D21</f>
        <v>0.10796868319524112</v>
      </c>
      <c r="F11" s="3">
        <v>11.62</v>
      </c>
      <c r="G11" s="3">
        <f>'Ouststanding Position'!D39</f>
        <v>9.0671160999999998</v>
      </c>
      <c r="H11" s="3">
        <f>'Ouststanding Position'!E39</f>
        <v>1.98</v>
      </c>
      <c r="I11" s="3">
        <f>'Ouststanding Position'!F39</f>
        <v>0</v>
      </c>
      <c r="J11" s="3">
        <f t="shared" si="0"/>
        <v>71.72</v>
      </c>
      <c r="K11" s="3">
        <f t="shared" si="0"/>
        <v>11.760691483195242</v>
      </c>
      <c r="L11" s="1">
        <v>22.723129028778985</v>
      </c>
      <c r="M11" s="1">
        <f>'Ouststanding Position'!H50</f>
        <v>7.6700000000000008</v>
      </c>
      <c r="N11" s="46">
        <f t="shared" si="1"/>
        <v>42.153820511974232</v>
      </c>
      <c r="P11" s="62"/>
    </row>
    <row r="12" spans="1:16" ht="15.75" thickBot="1" x14ac:dyDescent="0.3">
      <c r="A12" s="52" t="s">
        <v>18</v>
      </c>
      <c r="B12" s="53">
        <f>'Ouststanding Position'!C13</f>
        <v>40</v>
      </c>
      <c r="C12" s="54">
        <f>'Ouststanding Position'!D13</f>
        <v>2.1688765168625586</v>
      </c>
      <c r="D12" s="53">
        <f>'Ouststanding Position'!C22</f>
        <v>6.65</v>
      </c>
      <c r="E12" s="54">
        <f>'Ouststanding Position'!D22</f>
        <v>9.8491999999999996E-2</v>
      </c>
      <c r="F12" s="54">
        <v>0</v>
      </c>
      <c r="G12" s="54">
        <v>0</v>
      </c>
      <c r="H12" s="54">
        <v>0</v>
      </c>
      <c r="I12" s="54">
        <v>0</v>
      </c>
      <c r="J12" s="53">
        <f t="shared" si="0"/>
        <v>46.65</v>
      </c>
      <c r="K12" s="53">
        <f t="shared" si="0"/>
        <v>2.2673685168625584</v>
      </c>
      <c r="L12" s="55">
        <v>12.182691277626351</v>
      </c>
      <c r="M12" s="55">
        <f>'Ouststanding Position'!H51</f>
        <v>4.08</v>
      </c>
      <c r="N12" s="56">
        <f t="shared" si="1"/>
        <v>18.530059794488906</v>
      </c>
      <c r="P12" s="62"/>
    </row>
    <row r="13" spans="1:16" ht="15.75" thickBot="1" x14ac:dyDescent="0.3">
      <c r="A13" s="57" t="s">
        <v>20</v>
      </c>
      <c r="B13" s="58">
        <f>SUM(B6:B12)</f>
        <v>831</v>
      </c>
      <c r="C13" s="58">
        <f t="shared" ref="C13:N13" si="2">SUM(C6:C12)</f>
        <v>33.245054320619239</v>
      </c>
      <c r="D13" s="58">
        <f>SUM(D6:D12)</f>
        <v>170</v>
      </c>
      <c r="E13" s="58">
        <f t="shared" si="2"/>
        <v>1.5392611033728165</v>
      </c>
      <c r="F13" s="58">
        <f>SUM(F6:F12)</f>
        <v>163.06</v>
      </c>
      <c r="G13" s="58">
        <f t="shared" si="2"/>
        <v>156.81397769999998</v>
      </c>
      <c r="H13" s="58">
        <f>SUM(H6:H12)</f>
        <v>93.63000000000001</v>
      </c>
      <c r="I13" s="58">
        <f>SUM(I6:I12)</f>
        <v>16.86</v>
      </c>
      <c r="J13" s="58">
        <f t="shared" si="2"/>
        <v>1257.69</v>
      </c>
      <c r="K13" s="58">
        <f>SUM(K6:K12)</f>
        <v>208.45829312399201</v>
      </c>
      <c r="L13" s="58">
        <f t="shared" si="2"/>
        <v>370.45329999999979</v>
      </c>
      <c r="M13" s="58">
        <f>SUM(M6:M12)</f>
        <v>124.78</v>
      </c>
      <c r="N13" s="59">
        <f t="shared" si="2"/>
        <v>703.69159312399188</v>
      </c>
    </row>
    <row r="14" spans="1:16" x14ac:dyDescent="0.25">
      <c r="C14" s="14"/>
    </row>
    <row r="19" spans="1:14" x14ac:dyDescent="0.25">
      <c r="A19" s="63" t="s">
        <v>66</v>
      </c>
      <c r="B19" s="63" t="s">
        <v>62</v>
      </c>
      <c r="C19" s="63" t="s">
        <v>61</v>
      </c>
      <c r="D19" s="63" t="s">
        <v>63</v>
      </c>
      <c r="E19" s="63" t="s">
        <v>20</v>
      </c>
      <c r="F19" s="63"/>
      <c r="G19" s="63"/>
      <c r="H19" s="63"/>
      <c r="I19" s="63"/>
      <c r="J19" s="63"/>
      <c r="K19" s="63"/>
      <c r="L19" s="63"/>
      <c r="M19" s="63"/>
      <c r="N19" s="63"/>
    </row>
    <row r="20" spans="1:14" x14ac:dyDescent="0.25">
      <c r="A20" s="63" t="s">
        <v>64</v>
      </c>
      <c r="B20" s="64">
        <v>0.46179038816794482</v>
      </c>
      <c r="C20" s="64">
        <v>25.384550256362317</v>
      </c>
      <c r="D20" s="64">
        <v>38.021710155469741</v>
      </c>
      <c r="E20" s="63">
        <f>SUM(B20:D20)</f>
        <v>63.868050800000006</v>
      </c>
      <c r="F20" s="63"/>
      <c r="G20" s="63"/>
      <c r="H20" s="63"/>
      <c r="I20" s="63"/>
      <c r="J20" s="63"/>
      <c r="K20" s="63"/>
      <c r="L20" s="63"/>
      <c r="M20" s="63"/>
      <c r="N20" s="63"/>
    </row>
    <row r="21" spans="1:14" x14ac:dyDescent="0.25">
      <c r="A21" s="63" t="s">
        <v>34</v>
      </c>
      <c r="B21" s="64">
        <v>2.6792418134030913</v>
      </c>
      <c r="C21" s="64">
        <v>147.27753154650674</v>
      </c>
      <c r="D21" s="64">
        <v>220.59652664008988</v>
      </c>
      <c r="E21" s="63">
        <f>SUM(B21:D21)</f>
        <v>370.55329999999969</v>
      </c>
      <c r="F21" s="60"/>
      <c r="G21" s="60"/>
      <c r="H21" s="60"/>
      <c r="I21" s="60"/>
      <c r="J21" s="60"/>
      <c r="K21" s="60"/>
      <c r="L21" s="60"/>
      <c r="M21" s="60"/>
      <c r="N21" s="60"/>
    </row>
    <row r="22" spans="1:14" x14ac:dyDescent="0.25">
      <c r="A22" s="63" t="s">
        <v>65</v>
      </c>
      <c r="B22" s="64">
        <v>0.90220703331056018</v>
      </c>
      <c r="C22" s="64">
        <v>49.594188977329644</v>
      </c>
      <c r="D22" s="64">
        <v>74.28360398935979</v>
      </c>
      <c r="E22" s="63">
        <f>SUM(B22:D22)</f>
        <v>124.78</v>
      </c>
      <c r="F22" s="60"/>
      <c r="G22" s="60"/>
      <c r="H22" s="60"/>
      <c r="I22" s="60"/>
      <c r="J22" s="60"/>
      <c r="K22" s="60"/>
      <c r="L22" s="60"/>
      <c r="M22" s="60"/>
      <c r="N22" s="60"/>
    </row>
    <row r="23" spans="1:14" x14ac:dyDescent="0.25">
      <c r="A23" s="63" t="s">
        <v>20</v>
      </c>
      <c r="B23" s="63">
        <f>SUM(B20:B22)</f>
        <v>4.0432392348815966</v>
      </c>
      <c r="C23" s="63">
        <f t="shared" ref="C23:E23" si="3">SUM(C20:C22)</f>
        <v>222.25627078019872</v>
      </c>
      <c r="D23" s="63">
        <f t="shared" si="3"/>
        <v>332.90184078491939</v>
      </c>
      <c r="E23" s="63">
        <f t="shared" si="3"/>
        <v>559.20135079999966</v>
      </c>
      <c r="F23" s="60"/>
      <c r="G23" s="60"/>
      <c r="H23" s="60"/>
      <c r="I23" s="60"/>
      <c r="J23" s="60"/>
      <c r="K23" s="60"/>
      <c r="L23" s="60"/>
      <c r="M23" s="60"/>
      <c r="N23" s="60"/>
    </row>
    <row r="24" spans="1:14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</row>
    <row r="25" spans="1:14" x14ac:dyDescent="0.25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</row>
    <row r="26" spans="1:14" x14ac:dyDescent="0.25">
      <c r="A26" s="60"/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</row>
    <row r="27" spans="1:14" x14ac:dyDescent="0.25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</row>
    <row r="28" spans="1:14" x14ac:dyDescent="0.25">
      <c r="A28" s="60"/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</row>
  </sheetData>
  <mergeCells count="9">
    <mergeCell ref="M4:M5"/>
    <mergeCell ref="N4:N5"/>
    <mergeCell ref="A4:A5"/>
    <mergeCell ref="B4:C4"/>
    <mergeCell ref="D4:E4"/>
    <mergeCell ref="F4:G4"/>
    <mergeCell ref="H4:I4"/>
    <mergeCell ref="J4:K4"/>
    <mergeCell ref="L4:L5"/>
  </mergeCells>
  <pageMargins left="0.7" right="0.7" top="0.75" bottom="0.75" header="0.3" footer="0.3"/>
  <pageSetup paperSize="9" scale="9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4"/>
  <sheetViews>
    <sheetView topLeftCell="A43" workbookViewId="0">
      <selection activeCell="C54" sqref="C54"/>
    </sheetView>
  </sheetViews>
  <sheetFormatPr defaultColWidth="9.140625" defaultRowHeight="15" x14ac:dyDescent="0.25"/>
  <cols>
    <col min="1" max="1" width="25.85546875" style="7" bestFit="1" customWidth="1"/>
    <col min="2" max="2" width="11.5703125" style="7" bestFit="1" customWidth="1"/>
    <col min="3" max="3" width="16.7109375" style="7" customWidth="1"/>
    <col min="4" max="4" width="16.85546875" style="7" customWidth="1"/>
    <col min="5" max="5" width="13.42578125" style="7" customWidth="1"/>
    <col min="6" max="6" width="15.42578125" style="7" customWidth="1"/>
    <col min="7" max="7" width="12" style="7" customWidth="1"/>
    <col min="8" max="8" width="10.7109375" style="7" customWidth="1"/>
    <col min="9" max="9" width="11" style="7" hidden="1" customWidth="1"/>
    <col min="10" max="10" width="12.7109375" style="7" hidden="1" customWidth="1"/>
    <col min="11" max="11" width="12" style="7" hidden="1" customWidth="1"/>
    <col min="12" max="12" width="13.85546875" style="7" hidden="1" customWidth="1"/>
    <col min="13" max="15" width="0" style="7" hidden="1" customWidth="1"/>
    <col min="16" max="16384" width="9.140625" style="7"/>
  </cols>
  <sheetData>
    <row r="1" spans="1:16" x14ac:dyDescent="0.25">
      <c r="A1" s="6" t="s">
        <v>0</v>
      </c>
    </row>
    <row r="2" spans="1:16" x14ac:dyDescent="0.25">
      <c r="A2" s="6" t="s">
        <v>48</v>
      </c>
    </row>
    <row r="3" spans="1:16" x14ac:dyDescent="0.25">
      <c r="A3" s="6"/>
    </row>
    <row r="4" spans="1:16" x14ac:dyDescent="0.25">
      <c r="A4" s="6"/>
    </row>
    <row r="5" spans="1:16" ht="15.75" customHeight="1" x14ac:dyDescent="0.25">
      <c r="A5" s="70" t="s">
        <v>1</v>
      </c>
      <c r="B5" s="70" t="s">
        <v>2</v>
      </c>
      <c r="C5" s="70" t="s">
        <v>3</v>
      </c>
      <c r="D5" s="70"/>
      <c r="E5" s="70" t="s">
        <v>4</v>
      </c>
      <c r="F5" s="70"/>
      <c r="G5" s="70" t="s">
        <v>5</v>
      </c>
      <c r="H5" s="70" t="s">
        <v>6</v>
      </c>
      <c r="I5" s="78"/>
      <c r="J5" s="78"/>
      <c r="K5" s="79"/>
    </row>
    <row r="6" spans="1:16" ht="78.75" x14ac:dyDescent="0.25">
      <c r="A6" s="70"/>
      <c r="B6" s="70"/>
      <c r="C6" s="43" t="s">
        <v>7</v>
      </c>
      <c r="D6" s="43" t="s">
        <v>49</v>
      </c>
      <c r="E6" s="43" t="s">
        <v>7</v>
      </c>
      <c r="F6" s="43" t="s">
        <v>49</v>
      </c>
      <c r="G6" s="70"/>
      <c r="H6" s="70"/>
      <c r="I6" s="42" t="s">
        <v>24</v>
      </c>
      <c r="J6" s="43" t="s">
        <v>26</v>
      </c>
      <c r="K6" s="43" t="s">
        <v>25</v>
      </c>
    </row>
    <row r="7" spans="1:16" x14ac:dyDescent="0.25">
      <c r="A7" s="8" t="s">
        <v>8</v>
      </c>
      <c r="B7" s="1" t="s">
        <v>9</v>
      </c>
      <c r="C7" s="3">
        <v>205</v>
      </c>
      <c r="D7" s="3">
        <v>22.05</v>
      </c>
      <c r="E7" s="1">
        <f>'[1]Working File'!E6</f>
        <v>0</v>
      </c>
      <c r="F7" s="1">
        <f>'[1]Working File'!F6</f>
        <v>0</v>
      </c>
      <c r="G7" s="1">
        <v>51.231887169760874</v>
      </c>
      <c r="H7" s="1">
        <v>17.079999999999998</v>
      </c>
      <c r="I7" s="32">
        <f>0.05+0.27+0.4+0.41+0.54+0.52+0.55+0.54+0.55+0.58+0.57+0.59+0.61+0.64+0.66+0.68+0.7+0.69+0.72+0.68</f>
        <v>10.95</v>
      </c>
      <c r="J7" s="1"/>
      <c r="K7" s="1">
        <f>2.46+2.46+2.46+2.46+2.78+2.78+2.78</f>
        <v>18.18</v>
      </c>
      <c r="P7" s="14"/>
    </row>
    <row r="8" spans="1:16" ht="15.75" x14ac:dyDescent="0.3">
      <c r="A8" s="8" t="s">
        <v>10</v>
      </c>
      <c r="B8" s="1" t="s">
        <v>9</v>
      </c>
      <c r="C8" s="3">
        <f>111+50+50+40</f>
        <v>251</v>
      </c>
      <c r="D8" s="3">
        <v>18.510000000000002</v>
      </c>
      <c r="E8" s="1">
        <f>'[1]Working File'!E7</f>
        <v>0</v>
      </c>
      <c r="F8" s="1">
        <f>'[1]Working File'!F7</f>
        <v>0</v>
      </c>
      <c r="G8" s="1">
        <v>53.597727017932691</v>
      </c>
      <c r="H8" s="1">
        <f>6.6+4.03+3.94+3.29</f>
        <v>17.86</v>
      </c>
      <c r="I8" s="32">
        <f>0.51+0.45+0.46+0.44+0.48+0.48+0.44</f>
        <v>3.26</v>
      </c>
      <c r="J8" s="1">
        <f>0.46+0.47+0.43</f>
        <v>1.3599999999999999</v>
      </c>
      <c r="K8" s="1">
        <f>3.01+3.01+3.01+3.01</f>
        <v>12.04</v>
      </c>
      <c r="L8" s="9"/>
      <c r="P8" s="14"/>
    </row>
    <row r="9" spans="1:16" ht="15.75" hidden="1" x14ac:dyDescent="0.3">
      <c r="A9" s="8" t="s">
        <v>11</v>
      </c>
      <c r="B9" s="1" t="s">
        <v>9</v>
      </c>
      <c r="C9" s="3"/>
      <c r="D9" s="3"/>
      <c r="E9" s="1">
        <f>'[1]Working File'!E8</f>
        <v>0</v>
      </c>
      <c r="F9" s="1">
        <f>'[1]Working File'!F8</f>
        <v>0</v>
      </c>
      <c r="G9" s="1">
        <v>0</v>
      </c>
      <c r="H9" s="1"/>
      <c r="I9" s="32"/>
      <c r="J9" s="1"/>
      <c r="K9" s="1"/>
      <c r="L9" s="9"/>
    </row>
    <row r="10" spans="1:16" ht="15.75" hidden="1" x14ac:dyDescent="0.3">
      <c r="A10" s="8" t="s">
        <v>12</v>
      </c>
      <c r="B10" s="1" t="s">
        <v>9</v>
      </c>
      <c r="C10" s="3"/>
      <c r="D10" s="3"/>
      <c r="E10" s="1">
        <f>'[1]Working File'!E9</f>
        <v>0</v>
      </c>
      <c r="F10" s="1">
        <f>'[1]Working File'!F9</f>
        <v>0</v>
      </c>
      <c r="G10" s="1">
        <v>0</v>
      </c>
      <c r="H10" s="1"/>
      <c r="I10" s="32"/>
      <c r="J10" s="1"/>
      <c r="K10" s="1"/>
      <c r="L10" s="9"/>
      <c r="M10" s="7">
        <v>535</v>
      </c>
      <c r="N10" s="7">
        <v>265</v>
      </c>
    </row>
    <row r="11" spans="1:16" ht="15.75" hidden="1" x14ac:dyDescent="0.3">
      <c r="A11" s="8" t="s">
        <v>13</v>
      </c>
      <c r="B11" s="1" t="s">
        <v>9</v>
      </c>
      <c r="C11" s="3"/>
      <c r="D11" s="3"/>
      <c r="E11" s="1">
        <f>'[1]Working File'!E10</f>
        <v>0</v>
      </c>
      <c r="F11" s="1">
        <f>'[1]Working File'!F10</f>
        <v>0</v>
      </c>
      <c r="G11" s="1">
        <v>0</v>
      </c>
      <c r="H11" s="1"/>
      <c r="I11" s="32"/>
      <c r="J11" s="1"/>
      <c r="K11" s="1"/>
      <c r="L11" s="9"/>
    </row>
    <row r="12" spans="1:16" ht="15.75" x14ac:dyDescent="0.3">
      <c r="A12" s="8" t="s">
        <v>14</v>
      </c>
      <c r="B12" s="1" t="s">
        <v>9</v>
      </c>
      <c r="C12" s="3">
        <v>130</v>
      </c>
      <c r="D12" s="3">
        <v>14.02</v>
      </c>
      <c r="E12" s="1">
        <f>'[1]Working File'!E11</f>
        <v>0</v>
      </c>
      <c r="F12" s="1">
        <f>'[1]Working File'!F11</f>
        <v>0</v>
      </c>
      <c r="G12" s="1">
        <v>32.865667289231133</v>
      </c>
      <c r="H12" s="1">
        <v>10.95</v>
      </c>
      <c r="I12" s="32">
        <f>0.19+0.33+0.3+0.32+0.32+0.33+0.33+0.37+0.34+0.34+0.36+0.36+0.38+0.39+0.36</f>
        <v>5.0199999999999996</v>
      </c>
      <c r="J12" s="1"/>
      <c r="K12" s="1">
        <f>1.76+1.76+1.76+1.76+1.76</f>
        <v>8.8000000000000007</v>
      </c>
      <c r="L12" s="9"/>
      <c r="P12" s="14"/>
    </row>
    <row r="13" spans="1:16" ht="15.75" x14ac:dyDescent="0.3">
      <c r="A13" s="8" t="s">
        <v>15</v>
      </c>
      <c r="B13" s="1" t="s">
        <v>9</v>
      </c>
      <c r="C13" s="3">
        <v>65</v>
      </c>
      <c r="D13" s="3">
        <v>6.57</v>
      </c>
      <c r="E13" s="1">
        <f>'[1]Working File'!E12</f>
        <v>0</v>
      </c>
      <c r="F13" s="1">
        <f>'[1]Working File'!F12</f>
        <v>0</v>
      </c>
      <c r="G13" s="1">
        <v>16.198150474560787</v>
      </c>
      <c r="H13" s="1">
        <v>5.4</v>
      </c>
      <c r="I13" s="32"/>
      <c r="J13" s="1">
        <f>0.07+0.12+0.13+0.14+0.14+0.14+0.14+0.14+0.14+0.13+0.13+0.12+0.13+0.13+0.11</f>
        <v>1.91</v>
      </c>
      <c r="K13" s="1">
        <f>0.91+0.91+0.91+0.91+0.91+0.91+0.91-0.23</f>
        <v>6.14</v>
      </c>
      <c r="L13" s="9"/>
      <c r="P13" s="14"/>
    </row>
    <row r="14" spans="1:16" x14ac:dyDescent="0.25">
      <c r="A14" s="8" t="s">
        <v>16</v>
      </c>
      <c r="B14" s="1" t="s">
        <v>9</v>
      </c>
      <c r="C14" s="3">
        <v>50</v>
      </c>
      <c r="D14" s="3">
        <v>5.46</v>
      </c>
      <c r="E14" s="1">
        <f>'[1]Working File'!E13</f>
        <v>0</v>
      </c>
      <c r="F14" s="1">
        <f>'[1]Working File'!F13</f>
        <v>0</v>
      </c>
      <c r="G14" s="1">
        <v>12.133644400632162</v>
      </c>
      <c r="H14" s="1">
        <v>4.04</v>
      </c>
      <c r="I14" s="32">
        <f>0.13+0.12+0.12+0.12+0.12+0.12+0.12+0.12+0.13+0.13+0.13</f>
        <v>1.3599999999999999</v>
      </c>
      <c r="J14" s="1">
        <f>0.14+0.14+0.13</f>
        <v>0.41000000000000003</v>
      </c>
      <c r="K14" s="1">
        <f>0.68+0.68+0.68+0.68+0.68</f>
        <v>3.4000000000000004</v>
      </c>
      <c r="P14" s="14"/>
    </row>
    <row r="15" spans="1:16" x14ac:dyDescent="0.25">
      <c r="A15" s="8" t="s">
        <v>17</v>
      </c>
      <c r="B15" s="1" t="s">
        <v>9</v>
      </c>
      <c r="C15" s="3">
        <v>50</v>
      </c>
      <c r="D15" s="3">
        <v>5.44</v>
      </c>
      <c r="E15" s="1">
        <f>'[1]Working File'!E14</f>
        <v>0</v>
      </c>
      <c r="F15" s="1">
        <f>'[1]Working File'!F14</f>
        <v>0</v>
      </c>
      <c r="G15" s="1">
        <v>12.083716553751644</v>
      </c>
      <c r="H15" s="1">
        <v>4.03</v>
      </c>
      <c r="I15" s="32"/>
      <c r="J15" s="1">
        <f>0.14+0.13+0.14+0.14+0.13+0.14+0.13+0.14+0.13+0.14+0.14+0.13+0.14+0.13+0.14+0.13+0.12</f>
        <v>2.2900000000000005</v>
      </c>
      <c r="K15" s="1">
        <f>0.49+0.68+0.68+0.68+0.68+0.68+0.68-0.1</f>
        <v>4.4700000000000006</v>
      </c>
      <c r="P15" s="14"/>
    </row>
    <row r="16" spans="1:16" x14ac:dyDescent="0.25">
      <c r="A16" s="8" t="s">
        <v>18</v>
      </c>
      <c r="B16" s="1" t="s">
        <v>9</v>
      </c>
      <c r="C16" s="3">
        <v>40</v>
      </c>
      <c r="D16" s="3">
        <v>4.57</v>
      </c>
      <c r="E16" s="1">
        <f>'[1]Working File'!E15</f>
        <v>0</v>
      </c>
      <c r="F16" s="1">
        <f>'[1]Working File'!F15</f>
        <v>0</v>
      </c>
      <c r="G16" s="1">
        <v>9.8167621056511063</v>
      </c>
      <c r="H16" s="1">
        <v>3.27</v>
      </c>
      <c r="I16" s="32"/>
      <c r="J16" s="1">
        <f>0.04+0.08+0.08+0.08+0.08+0.08+0.08+0.08+0.08+0.08+0.08+0.08+0.07</f>
        <v>0.98999999999999977</v>
      </c>
      <c r="K16" s="1">
        <f>0.48+0.56+0.56+0.56+0.56-0.17</f>
        <v>2.5500000000000003</v>
      </c>
      <c r="N16" s="7">
        <v>186.43</v>
      </c>
      <c r="P16" s="14"/>
    </row>
    <row r="17" spans="1:16" x14ac:dyDescent="0.25">
      <c r="A17" s="8" t="s">
        <v>19</v>
      </c>
      <c r="B17" s="1" t="s">
        <v>9</v>
      </c>
      <c r="C17" s="3">
        <v>40</v>
      </c>
      <c r="D17" s="3">
        <v>4.75</v>
      </c>
      <c r="E17" s="1">
        <f>'[1]Working File'!E16</f>
        <v>0</v>
      </c>
      <c r="F17" s="1">
        <f>'[1]Working File'!F16</f>
        <v>0</v>
      </c>
      <c r="G17" s="1">
        <v>9.886671893409277</v>
      </c>
      <c r="H17" s="1">
        <v>3.3</v>
      </c>
      <c r="I17" s="32">
        <f>0.07+0.13+0.12+0.13+0.13+0.13+0.13+0.13+0.14+0.14+0.13+0.14+0.14+0.15+0.14+0.15+0.15+0.15+0.16+0.15</f>
        <v>2.71</v>
      </c>
      <c r="J17" s="1">
        <f>0.15+0.15+0.14</f>
        <v>0.44</v>
      </c>
      <c r="K17" s="1">
        <f>0.46+0.56+0.56+0.56+0.56+0.56+0.56-0.07</f>
        <v>3.7500000000000004</v>
      </c>
      <c r="N17" s="7">
        <v>13.12</v>
      </c>
      <c r="P17" s="14"/>
    </row>
    <row r="18" spans="1:16" x14ac:dyDescent="0.25">
      <c r="A18" s="5" t="s">
        <v>20</v>
      </c>
      <c r="B18" s="8"/>
      <c r="C18" s="10">
        <f t="shared" ref="C18:G18" si="0">SUM(C7:C17)</f>
        <v>831</v>
      </c>
      <c r="D18" s="2">
        <f>SUM(D7:D17)</f>
        <v>81.37</v>
      </c>
      <c r="E18" s="2">
        <f t="shared" si="0"/>
        <v>0</v>
      </c>
      <c r="F18" s="2">
        <f t="shared" si="0"/>
        <v>0</v>
      </c>
      <c r="G18" s="2">
        <f t="shared" si="0"/>
        <v>197.81422690492965</v>
      </c>
      <c r="H18" s="2">
        <f>SUM(H7:H17)</f>
        <v>65.930000000000007</v>
      </c>
      <c r="I18" s="33">
        <f>SUM(I7:I17)</f>
        <v>23.299999999999997</v>
      </c>
      <c r="J18" s="16">
        <f t="shared" ref="J18" si="1">SUM(J7:J17)</f>
        <v>7.4000000000000012</v>
      </c>
      <c r="K18" s="2">
        <f>SUM(K7:K17)</f>
        <v>59.329999999999991</v>
      </c>
      <c r="N18" s="7">
        <f>N16-N17</f>
        <v>173.31</v>
      </c>
    </row>
    <row r="19" spans="1:16" x14ac:dyDescent="0.25">
      <c r="A19" s="8" t="s">
        <v>8</v>
      </c>
      <c r="B19" s="1" t="s">
        <v>22</v>
      </c>
      <c r="C19" s="3">
        <v>72</v>
      </c>
      <c r="D19" s="3">
        <v>7.51</v>
      </c>
      <c r="E19" s="13">
        <v>0</v>
      </c>
      <c r="F19" s="13">
        <v>0</v>
      </c>
      <c r="G19" s="1">
        <v>22.030280715091806</v>
      </c>
      <c r="H19" s="1">
        <v>7.45</v>
      </c>
      <c r="I19" s="32">
        <f>0.05+0.21+0.22+0.22+0.23+0.22+0.23+0.23+0.22+0.26+0.24+0.25+0.25+0.25+0.26+0.25+0.27+0.25</f>
        <v>4.1099999999999994</v>
      </c>
      <c r="J19" s="1"/>
      <c r="K19" s="1">
        <f>0.95+0.95+0.95+0.95+0.95+0.95+0.95</f>
        <v>6.65</v>
      </c>
    </row>
    <row r="20" spans="1:16" x14ac:dyDescent="0.25">
      <c r="A20" s="8" t="s">
        <v>10</v>
      </c>
      <c r="B20" s="1" t="s">
        <v>22</v>
      </c>
      <c r="C20" s="3">
        <f>13.24+8.16+8.12+6.64</f>
        <v>36.159999999999997</v>
      </c>
      <c r="D20" s="3">
        <v>4.18</v>
      </c>
      <c r="E20" s="13">
        <v>0</v>
      </c>
      <c r="F20" s="13">
        <v>0</v>
      </c>
      <c r="G20" s="1">
        <v>9.4572475285974029</v>
      </c>
      <c r="H20" s="1">
        <f>1.3+0.72+0.64+0.54</f>
        <v>3.2</v>
      </c>
      <c r="I20" s="32">
        <f>0.09+0.09+0.09+0.09+0.12+0.12+0.1</f>
        <v>0.7</v>
      </c>
      <c r="J20" s="1">
        <f>0.11+0.11+0.1</f>
        <v>0.32</v>
      </c>
      <c r="K20" s="1">
        <f>0.4+0.44+0.52+0.52</f>
        <v>1.8800000000000001</v>
      </c>
    </row>
    <row r="21" spans="1:16" hidden="1" x14ac:dyDescent="0.25">
      <c r="A21" s="8" t="s">
        <v>11</v>
      </c>
      <c r="B21" s="1" t="s">
        <v>22</v>
      </c>
      <c r="C21" s="3"/>
      <c r="D21" s="3"/>
      <c r="E21" s="13">
        <v>0</v>
      </c>
      <c r="F21" s="13">
        <v>0</v>
      </c>
      <c r="G21" s="1">
        <v>0</v>
      </c>
      <c r="H21" s="1"/>
      <c r="I21" s="32"/>
      <c r="J21" s="1"/>
      <c r="K21" s="1"/>
    </row>
    <row r="22" spans="1:16" hidden="1" x14ac:dyDescent="0.25">
      <c r="A22" s="8" t="s">
        <v>12</v>
      </c>
      <c r="B22" s="1" t="s">
        <v>22</v>
      </c>
      <c r="C22" s="3"/>
      <c r="D22" s="3"/>
      <c r="E22" s="13">
        <v>0</v>
      </c>
      <c r="F22" s="13">
        <v>0</v>
      </c>
      <c r="G22" s="1">
        <v>0</v>
      </c>
      <c r="H22" s="1"/>
      <c r="I22" s="32"/>
      <c r="J22" s="1"/>
      <c r="K22" s="1"/>
    </row>
    <row r="23" spans="1:16" hidden="1" x14ac:dyDescent="0.25">
      <c r="A23" s="8" t="s">
        <v>13</v>
      </c>
      <c r="B23" s="1" t="s">
        <v>22</v>
      </c>
      <c r="C23" s="3"/>
      <c r="D23" s="3"/>
      <c r="E23" s="13">
        <v>0</v>
      </c>
      <c r="F23" s="13">
        <v>0</v>
      </c>
      <c r="G23" s="1">
        <v>0</v>
      </c>
      <c r="H23" s="1"/>
      <c r="I23" s="32"/>
      <c r="J23" s="1"/>
      <c r="K23" s="1"/>
    </row>
    <row r="24" spans="1:16" x14ac:dyDescent="0.25">
      <c r="A24" s="8" t="s">
        <v>14</v>
      </c>
      <c r="B24" s="1" t="s">
        <v>22</v>
      </c>
      <c r="C24" s="3">
        <v>21.42</v>
      </c>
      <c r="D24" s="3">
        <v>2.31</v>
      </c>
      <c r="E24" s="13">
        <v>0</v>
      </c>
      <c r="F24" s="13">
        <v>0</v>
      </c>
      <c r="G24" s="1">
        <v>6.8207993796854653</v>
      </c>
      <c r="H24" s="1">
        <v>2.31</v>
      </c>
      <c r="I24" s="32">
        <f>0.06+0.06+0.06+0.06+0.06+0.06+0.06+0.06+0.06+0.06+0.06+0.06+0.06+0.07+0.06</f>
        <v>0.91000000000000036</v>
      </c>
      <c r="J24" s="1"/>
      <c r="K24" s="1">
        <f>0.28+0.28+0.28+0.28+0.28</f>
        <v>1.4000000000000001</v>
      </c>
      <c r="L24" s="4"/>
    </row>
    <row r="25" spans="1:16" x14ac:dyDescent="0.25">
      <c r="A25" s="8" t="s">
        <v>15</v>
      </c>
      <c r="B25" s="1" t="s">
        <v>22</v>
      </c>
      <c r="C25" s="3">
        <v>10.88</v>
      </c>
      <c r="D25" s="3">
        <v>1.31</v>
      </c>
      <c r="E25" s="13">
        <v>0</v>
      </c>
      <c r="F25" s="13">
        <v>0</v>
      </c>
      <c r="G25" s="1">
        <v>2.7063494319395645</v>
      </c>
      <c r="H25" s="1">
        <v>0.92</v>
      </c>
      <c r="I25" s="32"/>
      <c r="J25" s="1">
        <f>0.03+0.03+0.03+0.03+0.03+0.03+0.03+0.03+0.03+0.03+0.03+0.03+0.03+0.03</f>
        <v>0.42000000000000015</v>
      </c>
      <c r="K25" s="1">
        <f>0.18+0.18+0.18+0.18+0.18+0.18+0.18-0.07</f>
        <v>1.1899999999999997</v>
      </c>
      <c r="L25" s="4"/>
    </row>
    <row r="26" spans="1:16" x14ac:dyDescent="0.25">
      <c r="A26" s="8" t="s">
        <v>16</v>
      </c>
      <c r="B26" s="1" t="s">
        <v>22</v>
      </c>
      <c r="C26" s="3">
        <v>8.1199999999999992</v>
      </c>
      <c r="D26" s="3">
        <v>0.86</v>
      </c>
      <c r="E26" s="13">
        <v>0</v>
      </c>
      <c r="F26" s="13">
        <v>0</v>
      </c>
      <c r="G26" s="1">
        <v>1.8774692570525482</v>
      </c>
      <c r="H26" s="1">
        <v>0.63</v>
      </c>
      <c r="I26" s="32">
        <f>0.02+0.02+0.02+0.02+0.02+0.02+0.02+0.02+0.02+0.02+0.02</f>
        <v>0.21999999999999997</v>
      </c>
      <c r="J26" s="1">
        <f>0.02+0.02+0.02</f>
        <v>0.06</v>
      </c>
      <c r="K26" s="1">
        <f>0.13+0.13+0.13+0.13+0.13</f>
        <v>0.65</v>
      </c>
      <c r="L26" s="11"/>
    </row>
    <row r="27" spans="1:16" x14ac:dyDescent="0.25">
      <c r="A27" s="8" t="s">
        <v>17</v>
      </c>
      <c r="B27" s="1" t="s">
        <v>22</v>
      </c>
      <c r="C27" s="3">
        <v>8.1199999999999992</v>
      </c>
      <c r="D27" s="3">
        <v>1.03</v>
      </c>
      <c r="E27" s="13">
        <v>0</v>
      </c>
      <c r="F27" s="13">
        <v>0</v>
      </c>
      <c r="G27" s="1">
        <v>2.037254691706889</v>
      </c>
      <c r="H27" s="1">
        <v>0.69</v>
      </c>
      <c r="I27" s="32"/>
      <c r="J27" s="1">
        <f>0.03+0.03+0.03+0.03+0.03+0.03+0.03+0.03+0.03+0.03+0.03+0.03+0.03+0.03+0.03+0.03+0.03</f>
        <v>0.51000000000000023</v>
      </c>
      <c r="K27" s="1">
        <f>0.09+0.13+0.13+0.13+0.13+0.13+0.13</f>
        <v>0.87</v>
      </c>
    </row>
    <row r="28" spans="1:16" x14ac:dyDescent="0.25">
      <c r="A28" s="8" t="s">
        <v>18</v>
      </c>
      <c r="B28" s="1" t="s">
        <v>22</v>
      </c>
      <c r="C28" s="3">
        <v>6.65</v>
      </c>
      <c r="D28" s="3">
        <v>0.93</v>
      </c>
      <c r="E28" s="13">
        <v>0</v>
      </c>
      <c r="F28" s="13">
        <v>0</v>
      </c>
      <c r="G28" s="1">
        <v>1.5279395749385749</v>
      </c>
      <c r="H28" s="1">
        <v>0.52</v>
      </c>
      <c r="I28" s="32"/>
      <c r="J28" s="1">
        <f>0.02+0.02+0.02+0.02+0.02+0.02+0.02+0.02+0.02+0.02+0.02+0.02+0.02</f>
        <v>0.25999999999999995</v>
      </c>
      <c r="K28" s="1">
        <f>0.08+0.11+0.11</f>
        <v>0.3</v>
      </c>
    </row>
    <row r="29" spans="1:16" x14ac:dyDescent="0.25">
      <c r="A29" s="8" t="s">
        <v>19</v>
      </c>
      <c r="B29" s="1" t="s">
        <v>22</v>
      </c>
      <c r="C29" s="3">
        <v>6.65</v>
      </c>
      <c r="D29" s="3">
        <v>0.95</v>
      </c>
      <c r="E29" s="13">
        <v>0</v>
      </c>
      <c r="F29" s="13">
        <v>0</v>
      </c>
      <c r="G29" s="1">
        <v>1.5379267389747764</v>
      </c>
      <c r="H29" s="1">
        <v>0.52</v>
      </c>
      <c r="I29" s="32">
        <f>0.03+0.03+0.03+0.03+0.03+0.03+0.03+0.03+0.03+0.03+0.03+0.03+0.03+0.03+0.03+0.03+0.03+0.03+0.03+0.03</f>
        <v>0.60000000000000031</v>
      </c>
      <c r="J29" s="1">
        <f>0.03+0.03+0.02</f>
        <v>0.08</v>
      </c>
      <c r="K29" s="1">
        <f>0.11+0.11+0.11+0.11+0.11+0.11+0.11</f>
        <v>0.77</v>
      </c>
    </row>
    <row r="30" spans="1:16" x14ac:dyDescent="0.25">
      <c r="A30" s="5" t="s">
        <v>20</v>
      </c>
      <c r="B30" s="8"/>
      <c r="C30" s="10">
        <f t="shared" ref="C30:J30" si="2">SUM(C19:C29)</f>
        <v>170</v>
      </c>
      <c r="D30" s="2">
        <f>SUM(D19:D29)</f>
        <v>19.080000000000002</v>
      </c>
      <c r="E30" s="2">
        <f t="shared" si="2"/>
        <v>0</v>
      </c>
      <c r="F30" s="2">
        <f t="shared" si="2"/>
        <v>0</v>
      </c>
      <c r="G30" s="2">
        <f t="shared" si="2"/>
        <v>47.995267317987029</v>
      </c>
      <c r="H30" s="2">
        <f t="shared" si="2"/>
        <v>16.240000000000002</v>
      </c>
      <c r="I30" s="33">
        <f>SUM(I19:I29)</f>
        <v>6.54</v>
      </c>
      <c r="J30" s="16">
        <f t="shared" si="2"/>
        <v>1.6500000000000006</v>
      </c>
      <c r="K30" s="2">
        <f>SUM(K19:K29)</f>
        <v>13.71</v>
      </c>
      <c r="L30" s="7">
        <v>48.06</v>
      </c>
    </row>
    <row r="31" spans="1:16" hidden="1" x14ac:dyDescent="0.25">
      <c r="A31" s="8" t="s">
        <v>8</v>
      </c>
      <c r="B31" s="1" t="s">
        <v>23</v>
      </c>
      <c r="C31" s="3">
        <v>21.61</v>
      </c>
      <c r="D31" s="1">
        <v>0</v>
      </c>
      <c r="E31" s="12">
        <v>0</v>
      </c>
      <c r="F31" s="12">
        <v>0</v>
      </c>
      <c r="G31" s="1">
        <v>4.2103201946884434</v>
      </c>
      <c r="H31" s="1">
        <v>1.43</v>
      </c>
      <c r="I31" s="32">
        <v>0</v>
      </c>
      <c r="J31" s="1">
        <v>0</v>
      </c>
      <c r="K31" s="1">
        <v>0</v>
      </c>
    </row>
    <row r="32" spans="1:16" hidden="1" x14ac:dyDescent="0.25">
      <c r="A32" s="8" t="s">
        <v>10</v>
      </c>
      <c r="B32" s="1" t="s">
        <v>23</v>
      </c>
      <c r="C32" s="3">
        <f>8.44+5.21+5.19+4.24</f>
        <v>23.08</v>
      </c>
      <c r="D32" s="1">
        <v>0</v>
      </c>
      <c r="E32" s="12">
        <v>0</v>
      </c>
      <c r="F32" s="12">
        <v>0</v>
      </c>
      <c r="G32" s="1">
        <v>4.5888122908030686</v>
      </c>
      <c r="H32" s="1">
        <f>0.57+0.35+0.35+0.29</f>
        <v>1.56</v>
      </c>
      <c r="I32" s="32">
        <f>0.03+0.03+0.03+0.03</f>
        <v>0.12</v>
      </c>
      <c r="J32" s="1">
        <v>0</v>
      </c>
      <c r="K32" s="1">
        <f>0.48+0.54-0.1+0.54+0.54</f>
        <v>2</v>
      </c>
    </row>
    <row r="33" spans="1:16" hidden="1" x14ac:dyDescent="0.25">
      <c r="A33" s="8" t="s">
        <v>11</v>
      </c>
      <c r="B33" s="1" t="s">
        <v>23</v>
      </c>
      <c r="C33" s="3"/>
      <c r="D33" s="1">
        <v>0</v>
      </c>
      <c r="E33" s="12">
        <v>0</v>
      </c>
      <c r="F33" s="12">
        <v>0</v>
      </c>
      <c r="G33" s="1">
        <v>0</v>
      </c>
      <c r="H33" s="1"/>
      <c r="I33" s="32">
        <v>0</v>
      </c>
      <c r="J33" s="1">
        <v>0</v>
      </c>
      <c r="K33" s="1">
        <v>0</v>
      </c>
    </row>
    <row r="34" spans="1:16" hidden="1" x14ac:dyDescent="0.25">
      <c r="A34" s="8" t="s">
        <v>12</v>
      </c>
      <c r="B34" s="1" t="s">
        <v>23</v>
      </c>
      <c r="C34" s="3"/>
      <c r="D34" s="1">
        <v>0</v>
      </c>
      <c r="E34" s="12">
        <v>0</v>
      </c>
      <c r="F34" s="12">
        <v>0</v>
      </c>
      <c r="G34" s="1">
        <v>0</v>
      </c>
      <c r="H34" s="1"/>
      <c r="I34" s="32">
        <v>0</v>
      </c>
      <c r="J34" s="1">
        <v>0</v>
      </c>
      <c r="K34" s="1">
        <v>0</v>
      </c>
    </row>
    <row r="35" spans="1:16" hidden="1" x14ac:dyDescent="0.25">
      <c r="A35" s="8" t="s">
        <v>13</v>
      </c>
      <c r="B35" s="1" t="s">
        <v>23</v>
      </c>
      <c r="C35" s="3"/>
      <c r="D35" s="1">
        <v>0</v>
      </c>
      <c r="E35" s="12">
        <v>0</v>
      </c>
      <c r="F35" s="12">
        <v>0</v>
      </c>
      <c r="G35" s="1">
        <v>0</v>
      </c>
      <c r="H35" s="1"/>
      <c r="I35" s="32">
        <v>0</v>
      </c>
      <c r="J35" s="1">
        <v>0</v>
      </c>
      <c r="K35" s="1">
        <v>0</v>
      </c>
    </row>
    <row r="36" spans="1:16" hidden="1" x14ac:dyDescent="0.25">
      <c r="A36" s="8" t="s">
        <v>14</v>
      </c>
      <c r="B36" s="1" t="s">
        <v>23</v>
      </c>
      <c r="C36" s="3">
        <v>13.68</v>
      </c>
      <c r="D36" s="1">
        <v>0</v>
      </c>
      <c r="E36" s="12">
        <v>0</v>
      </c>
      <c r="F36" s="12">
        <v>0</v>
      </c>
      <c r="G36" s="1">
        <v>2.772260479942438</v>
      </c>
      <c r="H36" s="1">
        <v>0.94</v>
      </c>
      <c r="I36" s="32">
        <v>0</v>
      </c>
      <c r="J36" s="1">
        <v>0</v>
      </c>
      <c r="K36" s="1">
        <v>0</v>
      </c>
    </row>
    <row r="37" spans="1:16" hidden="1" x14ac:dyDescent="0.25">
      <c r="A37" s="8" t="s">
        <v>15</v>
      </c>
      <c r="B37" s="1" t="s">
        <v>23</v>
      </c>
      <c r="C37" s="3">
        <v>6.95</v>
      </c>
      <c r="D37" s="1">
        <v>0</v>
      </c>
      <c r="E37" s="12">
        <v>0</v>
      </c>
      <c r="F37" s="12">
        <v>0</v>
      </c>
      <c r="G37" s="1">
        <v>1.3381949220660576</v>
      </c>
      <c r="H37" s="1">
        <v>0.45</v>
      </c>
      <c r="I37" s="32">
        <v>0</v>
      </c>
      <c r="J37" s="1">
        <v>0</v>
      </c>
      <c r="K37" s="1">
        <v>0</v>
      </c>
    </row>
    <row r="38" spans="1:16" hidden="1" x14ac:dyDescent="0.25">
      <c r="A38" s="8" t="s">
        <v>16</v>
      </c>
      <c r="B38" s="1" t="s">
        <v>23</v>
      </c>
      <c r="C38" s="3">
        <v>5.19</v>
      </c>
      <c r="D38" s="1">
        <v>0</v>
      </c>
      <c r="E38" s="12">
        <v>0</v>
      </c>
      <c r="F38" s="12">
        <v>0</v>
      </c>
      <c r="G38" s="1">
        <v>1.0386000145397076</v>
      </c>
      <c r="H38" s="1">
        <v>0.35</v>
      </c>
      <c r="I38" s="32">
        <v>0</v>
      </c>
      <c r="J38" s="1">
        <v>0</v>
      </c>
      <c r="K38" s="1">
        <v>0</v>
      </c>
    </row>
    <row r="39" spans="1:16" hidden="1" x14ac:dyDescent="0.25">
      <c r="A39" s="8" t="s">
        <v>17</v>
      </c>
      <c r="B39" s="1" t="s">
        <v>23</v>
      </c>
      <c r="C39" s="3">
        <v>5.19</v>
      </c>
      <c r="D39" s="1">
        <v>0</v>
      </c>
      <c r="E39" s="12">
        <v>0</v>
      </c>
      <c r="F39" s="12">
        <v>0</v>
      </c>
      <c r="G39" s="1">
        <v>0.96869463282141288</v>
      </c>
      <c r="H39" s="1">
        <v>0.33</v>
      </c>
      <c r="I39" s="32">
        <v>0</v>
      </c>
      <c r="J39" s="1">
        <v>0</v>
      </c>
      <c r="K39" s="1">
        <v>0</v>
      </c>
    </row>
    <row r="40" spans="1:16" hidden="1" x14ac:dyDescent="0.25">
      <c r="A40" s="8" t="s">
        <v>18</v>
      </c>
      <c r="B40" s="1" t="s">
        <v>23</v>
      </c>
      <c r="C40" s="3">
        <v>4.25</v>
      </c>
      <c r="D40" s="1">
        <v>0</v>
      </c>
      <c r="E40" s="12">
        <v>0</v>
      </c>
      <c r="F40" s="12">
        <v>0</v>
      </c>
      <c r="G40" s="1">
        <v>0.84885531941031944</v>
      </c>
      <c r="H40" s="1">
        <v>0.28999999999999998</v>
      </c>
      <c r="I40" s="32">
        <v>0</v>
      </c>
      <c r="J40" s="1">
        <v>0</v>
      </c>
      <c r="K40" s="1">
        <v>0</v>
      </c>
    </row>
    <row r="41" spans="1:16" hidden="1" x14ac:dyDescent="0.25">
      <c r="A41" s="8" t="s">
        <v>19</v>
      </c>
      <c r="B41" s="1" t="s">
        <v>23</v>
      </c>
      <c r="C41" s="3">
        <v>4.25</v>
      </c>
      <c r="D41" s="1">
        <v>0</v>
      </c>
      <c r="E41" s="12">
        <v>0</v>
      </c>
      <c r="F41" s="12">
        <v>0</v>
      </c>
      <c r="G41" s="1">
        <v>0.84885566761594788</v>
      </c>
      <c r="H41" s="1">
        <v>0.28999999999999998</v>
      </c>
      <c r="I41" s="32">
        <v>0</v>
      </c>
      <c r="J41" s="1">
        <v>0</v>
      </c>
      <c r="K41" s="1">
        <v>0</v>
      </c>
    </row>
    <row r="42" spans="1:16" hidden="1" x14ac:dyDescent="0.25">
      <c r="A42" s="5" t="s">
        <v>20</v>
      </c>
      <c r="B42" s="8"/>
      <c r="C42" s="10">
        <f t="shared" ref="C42:K42" si="3">SUM(C31:C41)</f>
        <v>84.199999999999989</v>
      </c>
      <c r="D42" s="2">
        <f t="shared" si="3"/>
        <v>0</v>
      </c>
      <c r="E42" s="2">
        <f t="shared" si="3"/>
        <v>0</v>
      </c>
      <c r="F42" s="2">
        <f t="shared" si="3"/>
        <v>0</v>
      </c>
      <c r="G42" s="2">
        <f t="shared" si="3"/>
        <v>16.614593521887393</v>
      </c>
      <c r="H42" s="2">
        <f t="shared" si="3"/>
        <v>5.64</v>
      </c>
      <c r="I42" s="33">
        <f t="shared" si="3"/>
        <v>0.12</v>
      </c>
      <c r="J42" s="16">
        <f t="shared" si="3"/>
        <v>0</v>
      </c>
      <c r="K42" s="2">
        <f t="shared" si="3"/>
        <v>2</v>
      </c>
    </row>
    <row r="43" spans="1:16" x14ac:dyDescent="0.25">
      <c r="A43" s="8" t="s">
        <v>8</v>
      </c>
      <c r="B43" s="1" t="s">
        <v>21</v>
      </c>
      <c r="C43" s="3">
        <v>32.54</v>
      </c>
      <c r="D43" s="3">
        <v>32.47</v>
      </c>
      <c r="E43" s="3">
        <v>19.8</v>
      </c>
      <c r="F43" s="3">
        <v>10.130000000000001</v>
      </c>
      <c r="G43" s="1">
        <v>21.461048620458879</v>
      </c>
      <c r="H43" s="1">
        <v>7.32</v>
      </c>
      <c r="I43" s="32">
        <f>D43-C43</f>
        <v>-7.0000000000000284E-2</v>
      </c>
      <c r="J43" s="1">
        <v>0</v>
      </c>
      <c r="K43" s="1">
        <v>0</v>
      </c>
      <c r="L43" s="14">
        <f>D43-C43</f>
        <v>-7.0000000000000284E-2</v>
      </c>
      <c r="M43" s="11">
        <f>L43-I43</f>
        <v>0</v>
      </c>
      <c r="N43" s="7">
        <v>32.79</v>
      </c>
      <c r="O43" s="14">
        <f>C43-N43</f>
        <v>-0.25</v>
      </c>
      <c r="P43" s="14"/>
    </row>
    <row r="44" spans="1:16" x14ac:dyDescent="0.25">
      <c r="A44" s="8" t="s">
        <v>10</v>
      </c>
      <c r="B44" s="1" t="s">
        <v>21</v>
      </c>
      <c r="C44" s="3">
        <v>67</v>
      </c>
      <c r="D44" s="3">
        <f>26.11+40.17</f>
        <v>66.28</v>
      </c>
      <c r="E44" s="3">
        <v>53.13</v>
      </c>
      <c r="F44" s="13">
        <v>0</v>
      </c>
      <c r="G44" s="1">
        <v>44.959375262666846</v>
      </c>
      <c r="H44" s="1">
        <f>10.81+3.49+1.04</f>
        <v>15.34</v>
      </c>
      <c r="I44" s="32">
        <v>0</v>
      </c>
      <c r="J44" s="1">
        <v>0</v>
      </c>
      <c r="K44" s="1">
        <v>0</v>
      </c>
      <c r="L44" s="14">
        <f t="shared" ref="L44:L51" si="4">D44-C44</f>
        <v>-0.71999999999999886</v>
      </c>
      <c r="N44" s="7">
        <v>66.63</v>
      </c>
      <c r="O44" s="14"/>
    </row>
    <row r="45" spans="1:16" hidden="1" x14ac:dyDescent="0.25">
      <c r="A45" s="8" t="s">
        <v>11</v>
      </c>
      <c r="B45" s="1" t="s">
        <v>21</v>
      </c>
      <c r="C45" s="13">
        <v>0</v>
      </c>
      <c r="D45" s="13">
        <v>0</v>
      </c>
      <c r="E45" s="13">
        <v>0</v>
      </c>
      <c r="F45" s="13">
        <v>0</v>
      </c>
      <c r="G45" s="1">
        <v>0</v>
      </c>
      <c r="H45" s="1"/>
      <c r="I45" s="32"/>
      <c r="J45" s="1">
        <v>0</v>
      </c>
      <c r="K45" s="1">
        <v>0</v>
      </c>
      <c r="L45" s="14">
        <f t="shared" si="4"/>
        <v>0</v>
      </c>
      <c r="O45" s="14">
        <f t="shared" ref="O45:O50" si="5">C45-N45</f>
        <v>0</v>
      </c>
    </row>
    <row r="46" spans="1:16" hidden="1" x14ac:dyDescent="0.25">
      <c r="A46" s="8" t="s">
        <v>12</v>
      </c>
      <c r="B46" s="1" t="s">
        <v>21</v>
      </c>
      <c r="C46" s="13">
        <v>0</v>
      </c>
      <c r="D46" s="13">
        <v>0</v>
      </c>
      <c r="E46" s="13">
        <v>0</v>
      </c>
      <c r="F46" s="13">
        <v>0</v>
      </c>
      <c r="G46" s="1">
        <v>0</v>
      </c>
      <c r="H46" s="1">
        <v>0</v>
      </c>
      <c r="I46" s="32"/>
      <c r="J46" s="1">
        <v>0</v>
      </c>
      <c r="K46" s="1">
        <v>0</v>
      </c>
      <c r="L46" s="14">
        <f t="shared" si="4"/>
        <v>0</v>
      </c>
      <c r="O46" s="14">
        <f t="shared" si="5"/>
        <v>0</v>
      </c>
    </row>
    <row r="47" spans="1:16" hidden="1" x14ac:dyDescent="0.25">
      <c r="A47" s="8" t="s">
        <v>13</v>
      </c>
      <c r="B47" s="1" t="s">
        <v>21</v>
      </c>
      <c r="C47" s="13">
        <v>0</v>
      </c>
      <c r="D47" s="13">
        <v>0</v>
      </c>
      <c r="E47" s="13">
        <v>0</v>
      </c>
      <c r="F47" s="13">
        <v>0</v>
      </c>
      <c r="G47" s="1">
        <v>0</v>
      </c>
      <c r="H47" s="1"/>
      <c r="I47" s="32"/>
      <c r="J47" s="1">
        <v>0</v>
      </c>
      <c r="K47" s="1">
        <v>0</v>
      </c>
      <c r="L47" s="14">
        <f t="shared" si="4"/>
        <v>0</v>
      </c>
      <c r="O47" s="14">
        <f t="shared" si="5"/>
        <v>0</v>
      </c>
    </row>
    <row r="48" spans="1:16" x14ac:dyDescent="0.25">
      <c r="A48" s="8" t="s">
        <v>14</v>
      </c>
      <c r="B48" s="1" t="s">
        <v>21</v>
      </c>
      <c r="C48" s="3">
        <v>24.01</v>
      </c>
      <c r="D48" s="3">
        <v>24.01</v>
      </c>
      <c r="E48" s="3">
        <v>5.94</v>
      </c>
      <c r="F48" s="13">
        <v>0</v>
      </c>
      <c r="G48" s="1">
        <v>15.834640551140957</v>
      </c>
      <c r="H48" s="1">
        <v>5.41</v>
      </c>
      <c r="I48" s="32">
        <f>D48-C48</f>
        <v>0</v>
      </c>
      <c r="J48" s="1">
        <v>0</v>
      </c>
      <c r="K48" s="1">
        <v>0</v>
      </c>
      <c r="L48" s="14">
        <f>D48-C48</f>
        <v>0</v>
      </c>
      <c r="N48" s="7">
        <v>24.2</v>
      </c>
      <c r="O48" s="14">
        <f t="shared" si="5"/>
        <v>-0.18999999999999773</v>
      </c>
    </row>
    <row r="49" spans="1:16" x14ac:dyDescent="0.25">
      <c r="A49" s="8" t="s">
        <v>15</v>
      </c>
      <c r="B49" s="1" t="s">
        <v>21</v>
      </c>
      <c r="C49" s="3">
        <v>12.39</v>
      </c>
      <c r="D49" s="3">
        <v>10.6</v>
      </c>
      <c r="E49" s="3">
        <v>4.8600000000000003</v>
      </c>
      <c r="F49" s="13">
        <v>0</v>
      </c>
      <c r="G49" s="1">
        <v>8.1789674714335909</v>
      </c>
      <c r="H49" s="1">
        <v>2.79</v>
      </c>
      <c r="I49" s="32">
        <v>0</v>
      </c>
      <c r="J49" s="1">
        <v>0</v>
      </c>
      <c r="K49" s="1">
        <v>0</v>
      </c>
      <c r="L49" s="14">
        <f>D49-C49</f>
        <v>-1.7900000000000009</v>
      </c>
      <c r="N49" s="7">
        <v>10.41</v>
      </c>
      <c r="O49" s="14"/>
    </row>
    <row r="50" spans="1:16" x14ac:dyDescent="0.25">
      <c r="A50" s="8" t="s">
        <v>16</v>
      </c>
      <c r="B50" s="1" t="s">
        <v>21</v>
      </c>
      <c r="C50" s="3">
        <v>15.51</v>
      </c>
      <c r="D50" s="3">
        <v>15.49</v>
      </c>
      <c r="E50" s="3">
        <v>7.92</v>
      </c>
      <c r="F50" s="13">
        <v>0</v>
      </c>
      <c r="G50" s="1">
        <v>10.226215527775583</v>
      </c>
      <c r="H50" s="1">
        <v>3.49</v>
      </c>
      <c r="I50" s="32">
        <f>D50-C50</f>
        <v>-1.9999999999999574E-2</v>
      </c>
      <c r="J50" s="1">
        <v>0</v>
      </c>
      <c r="K50" s="1">
        <v>0</v>
      </c>
      <c r="L50" s="14">
        <f t="shared" si="4"/>
        <v>-1.9999999999999574E-2</v>
      </c>
      <c r="N50" s="7">
        <v>15.63</v>
      </c>
      <c r="O50" s="14">
        <f t="shared" si="5"/>
        <v>-0.12000000000000099</v>
      </c>
    </row>
    <row r="51" spans="1:16" x14ac:dyDescent="0.25">
      <c r="A51" s="8" t="s">
        <v>17</v>
      </c>
      <c r="B51" s="1" t="s">
        <v>21</v>
      </c>
      <c r="C51" s="3">
        <v>11.63</v>
      </c>
      <c r="D51" s="3">
        <v>9.42</v>
      </c>
      <c r="E51" s="3">
        <v>1.98</v>
      </c>
      <c r="F51" s="13">
        <v>0</v>
      </c>
      <c r="G51" s="1">
        <v>7.6696647217200526</v>
      </c>
      <c r="H51" s="1">
        <v>2.62</v>
      </c>
      <c r="I51" s="32">
        <v>0</v>
      </c>
      <c r="J51" s="1">
        <v>0</v>
      </c>
      <c r="K51" s="1">
        <v>0</v>
      </c>
      <c r="L51" s="14">
        <f t="shared" si="4"/>
        <v>-2.2100000000000009</v>
      </c>
      <c r="N51" s="7">
        <v>10.71</v>
      </c>
      <c r="O51" s="14"/>
    </row>
    <row r="52" spans="1:16" x14ac:dyDescent="0.25">
      <c r="A52" s="5" t="s">
        <v>20</v>
      </c>
      <c r="B52" s="8"/>
      <c r="C52" s="10">
        <f>SUM(C43:C51)-0.02</f>
        <v>163.05999999999997</v>
      </c>
      <c r="D52" s="2">
        <f>SUM(D43:D51)</f>
        <v>158.27000000000001</v>
      </c>
      <c r="E52" s="2">
        <f t="shared" ref="E52:K52" si="6">SUM(E43:E51)</f>
        <v>93.63000000000001</v>
      </c>
      <c r="F52" s="2">
        <f t="shared" si="6"/>
        <v>10.130000000000001</v>
      </c>
      <c r="G52" s="2">
        <f t="shared" si="6"/>
        <v>108.3299121551959</v>
      </c>
      <c r="H52" s="2">
        <f t="shared" si="6"/>
        <v>36.97</v>
      </c>
      <c r="I52" s="33">
        <f t="shared" si="6"/>
        <v>-8.9999999999999858E-2</v>
      </c>
      <c r="J52" s="16">
        <f>SUM(J43:J51)</f>
        <v>0</v>
      </c>
      <c r="K52" s="2">
        <f t="shared" si="6"/>
        <v>0</v>
      </c>
      <c r="L52" s="7">
        <v>108.47</v>
      </c>
      <c r="N52" s="2">
        <f>SUM(N43:N51)</f>
        <v>160.37</v>
      </c>
      <c r="O52" s="2">
        <f>SUM(O43:O51)</f>
        <v>-0.55999999999999872</v>
      </c>
    </row>
    <row r="53" spans="1:16" x14ac:dyDescent="0.25">
      <c r="A53" s="8"/>
      <c r="B53" s="8"/>
      <c r="C53" s="8"/>
      <c r="D53" s="8"/>
      <c r="E53" s="8"/>
      <c r="F53" s="8"/>
      <c r="G53" s="8"/>
      <c r="H53" s="8"/>
      <c r="I53" s="34"/>
      <c r="J53" s="8"/>
      <c r="K53" s="8"/>
    </row>
    <row r="54" spans="1:16" x14ac:dyDescent="0.25">
      <c r="A54" s="5" t="s">
        <v>20</v>
      </c>
      <c r="B54" s="8"/>
      <c r="C54" s="2">
        <f>C18+C30+C52</f>
        <v>1164.06</v>
      </c>
      <c r="D54" s="2">
        <f>D18+D30+D52</f>
        <v>258.72000000000003</v>
      </c>
      <c r="E54" s="2">
        <f>E18+E30+E52</f>
        <v>93.63000000000001</v>
      </c>
      <c r="F54" s="2">
        <f>F18+F30+F52</f>
        <v>10.130000000000001</v>
      </c>
      <c r="G54" s="2">
        <f t="shared" ref="G54:K54" si="7">G42+G30+G18+G52</f>
        <v>370.75399989999994</v>
      </c>
      <c r="H54" s="2">
        <f t="shared" si="7"/>
        <v>124.78</v>
      </c>
      <c r="I54" s="33">
        <f>I42+I30+I18+I52</f>
        <v>29.869999999999997</v>
      </c>
      <c r="J54" s="16">
        <f>J42+J30+J18+J52</f>
        <v>9.0500000000000025</v>
      </c>
      <c r="K54" s="2">
        <f t="shared" si="7"/>
        <v>75.039999999999992</v>
      </c>
      <c r="P54" s="11"/>
    </row>
    <row r="55" spans="1:16" x14ac:dyDescent="0.25">
      <c r="A55" s="36"/>
      <c r="B55" s="37"/>
      <c r="C55" s="37"/>
      <c r="D55" s="37"/>
      <c r="E55" s="37"/>
      <c r="F55" s="37"/>
      <c r="G55" s="37"/>
      <c r="H55" s="38"/>
      <c r="I55" s="17"/>
      <c r="J55" s="17"/>
      <c r="K55" s="17"/>
    </row>
    <row r="56" spans="1:16" x14ac:dyDescent="0.25">
      <c r="A56" s="36"/>
      <c r="B56" s="37"/>
      <c r="C56" s="37"/>
      <c r="D56" s="37"/>
      <c r="E56" s="37"/>
      <c r="F56" s="37"/>
      <c r="G56" s="37"/>
      <c r="H56" s="38"/>
      <c r="I56" s="18"/>
      <c r="J56" s="18"/>
      <c r="K56" s="18"/>
    </row>
    <row r="57" spans="1:16" x14ac:dyDescent="0.25">
      <c r="A57" s="8" t="s">
        <v>8</v>
      </c>
      <c r="B57" s="8"/>
      <c r="C57" s="1">
        <f t="shared" ref="C57:K65" si="8">C7+C19+C31+C43</f>
        <v>331.15000000000003</v>
      </c>
      <c r="D57" s="1">
        <f>D7+D19+D31+D43</f>
        <v>62.03</v>
      </c>
      <c r="E57" s="1">
        <f t="shared" si="8"/>
        <v>19.8</v>
      </c>
      <c r="F57" s="1">
        <f t="shared" si="8"/>
        <v>10.130000000000001</v>
      </c>
      <c r="G57" s="1">
        <f t="shared" si="8"/>
        <v>98.933536700000019</v>
      </c>
      <c r="H57" s="1">
        <f t="shared" si="8"/>
        <v>33.28</v>
      </c>
      <c r="I57" s="35">
        <f t="shared" si="8"/>
        <v>14.989999999999998</v>
      </c>
      <c r="J57" s="15">
        <f t="shared" si="8"/>
        <v>0</v>
      </c>
      <c r="K57" s="1">
        <f t="shared" si="8"/>
        <v>24.83</v>
      </c>
    </row>
    <row r="58" spans="1:16" x14ac:dyDescent="0.25">
      <c r="A58" s="8" t="s">
        <v>10</v>
      </c>
      <c r="B58" s="8"/>
      <c r="C58" s="1">
        <f t="shared" si="8"/>
        <v>377.23999999999995</v>
      </c>
      <c r="D58" s="1">
        <f>D8+D20+D32+D44</f>
        <v>88.97</v>
      </c>
      <c r="E58" s="1">
        <f t="shared" si="8"/>
        <v>53.13</v>
      </c>
      <c r="F58" s="1">
        <f t="shared" si="8"/>
        <v>0</v>
      </c>
      <c r="G58" s="1">
        <f t="shared" si="8"/>
        <v>112.60316209999999</v>
      </c>
      <c r="H58" s="1">
        <f t="shared" si="8"/>
        <v>37.959999999999994</v>
      </c>
      <c r="I58" s="35">
        <f t="shared" si="8"/>
        <v>4.08</v>
      </c>
      <c r="J58" s="15">
        <f t="shared" si="8"/>
        <v>1.68</v>
      </c>
      <c r="K58" s="1">
        <f t="shared" si="8"/>
        <v>15.92</v>
      </c>
    </row>
    <row r="59" spans="1:16" hidden="1" x14ac:dyDescent="0.25">
      <c r="A59" s="8" t="s">
        <v>11</v>
      </c>
      <c r="B59" s="8"/>
      <c r="C59" s="1">
        <f t="shared" si="8"/>
        <v>0</v>
      </c>
      <c r="D59" s="1">
        <f t="shared" si="8"/>
        <v>0</v>
      </c>
      <c r="E59" s="1">
        <f t="shared" si="8"/>
        <v>0</v>
      </c>
      <c r="F59" s="1">
        <f t="shared" si="8"/>
        <v>0</v>
      </c>
      <c r="G59" s="1">
        <f t="shared" si="8"/>
        <v>0</v>
      </c>
      <c r="H59" s="1">
        <f t="shared" si="8"/>
        <v>0</v>
      </c>
      <c r="I59" s="35">
        <f t="shared" si="8"/>
        <v>0</v>
      </c>
      <c r="J59" s="15">
        <f t="shared" si="8"/>
        <v>0</v>
      </c>
      <c r="K59" s="1">
        <f t="shared" si="8"/>
        <v>0</v>
      </c>
    </row>
    <row r="60" spans="1:16" hidden="1" x14ac:dyDescent="0.25">
      <c r="A60" s="8" t="s">
        <v>12</v>
      </c>
      <c r="B60" s="8"/>
      <c r="C60" s="1">
        <f t="shared" si="8"/>
        <v>0</v>
      </c>
      <c r="D60" s="1">
        <f t="shared" si="8"/>
        <v>0</v>
      </c>
      <c r="E60" s="1">
        <f t="shared" si="8"/>
        <v>0</v>
      </c>
      <c r="F60" s="1">
        <f t="shared" si="8"/>
        <v>0</v>
      </c>
      <c r="G60" s="1">
        <f t="shared" si="8"/>
        <v>0</v>
      </c>
      <c r="H60" s="1">
        <f t="shared" si="8"/>
        <v>0</v>
      </c>
      <c r="I60" s="35">
        <f t="shared" si="8"/>
        <v>0</v>
      </c>
      <c r="J60" s="15">
        <f t="shared" si="8"/>
        <v>0</v>
      </c>
      <c r="K60" s="1">
        <f t="shared" si="8"/>
        <v>0</v>
      </c>
    </row>
    <row r="61" spans="1:16" hidden="1" x14ac:dyDescent="0.25">
      <c r="A61" s="8" t="s">
        <v>13</v>
      </c>
      <c r="B61" s="8"/>
      <c r="C61" s="1">
        <f t="shared" si="8"/>
        <v>0</v>
      </c>
      <c r="D61" s="1">
        <f t="shared" si="8"/>
        <v>0</v>
      </c>
      <c r="E61" s="1">
        <f t="shared" si="8"/>
        <v>0</v>
      </c>
      <c r="F61" s="1">
        <f t="shared" si="8"/>
        <v>0</v>
      </c>
      <c r="G61" s="1">
        <f t="shared" si="8"/>
        <v>0</v>
      </c>
      <c r="H61" s="1">
        <f t="shared" si="8"/>
        <v>0</v>
      </c>
      <c r="I61" s="35">
        <f t="shared" si="8"/>
        <v>0</v>
      </c>
      <c r="J61" s="15">
        <f t="shared" si="8"/>
        <v>0</v>
      </c>
      <c r="K61" s="1">
        <f t="shared" si="8"/>
        <v>0</v>
      </c>
    </row>
    <row r="62" spans="1:16" x14ac:dyDescent="0.25">
      <c r="A62" s="8" t="s">
        <v>14</v>
      </c>
      <c r="B62" s="8"/>
      <c r="C62" s="1">
        <f t="shared" si="8"/>
        <v>189.11</v>
      </c>
      <c r="D62" s="1">
        <f>D12+D24+D36+D48</f>
        <v>40.340000000000003</v>
      </c>
      <c r="E62" s="1">
        <f t="shared" si="8"/>
        <v>5.94</v>
      </c>
      <c r="F62" s="1">
        <f t="shared" si="8"/>
        <v>0</v>
      </c>
      <c r="G62" s="1">
        <f t="shared" si="8"/>
        <v>58.293367699999997</v>
      </c>
      <c r="H62" s="1">
        <f t="shared" si="8"/>
        <v>19.61</v>
      </c>
      <c r="I62" s="35">
        <f t="shared" si="8"/>
        <v>5.93</v>
      </c>
      <c r="J62" s="15">
        <f t="shared" si="8"/>
        <v>0</v>
      </c>
      <c r="K62" s="1">
        <f t="shared" si="8"/>
        <v>10.200000000000001</v>
      </c>
    </row>
    <row r="63" spans="1:16" x14ac:dyDescent="0.25">
      <c r="A63" s="8" t="s">
        <v>15</v>
      </c>
      <c r="B63" s="8"/>
      <c r="C63" s="1">
        <f t="shared" si="8"/>
        <v>95.22</v>
      </c>
      <c r="D63" s="1">
        <f>D13+D25+D37+D49</f>
        <v>18.48</v>
      </c>
      <c r="E63" s="1">
        <f t="shared" si="8"/>
        <v>4.8600000000000003</v>
      </c>
      <c r="F63" s="1">
        <f t="shared" si="8"/>
        <v>0</v>
      </c>
      <c r="G63" s="1">
        <f t="shared" si="8"/>
        <v>28.421662300000001</v>
      </c>
      <c r="H63" s="1">
        <f t="shared" si="8"/>
        <v>9.56</v>
      </c>
      <c r="I63" s="35">
        <f t="shared" si="8"/>
        <v>0</v>
      </c>
      <c r="J63" s="15">
        <f t="shared" si="8"/>
        <v>2.33</v>
      </c>
      <c r="K63" s="1">
        <f t="shared" si="8"/>
        <v>7.3299999999999992</v>
      </c>
    </row>
    <row r="64" spans="1:16" x14ac:dyDescent="0.25">
      <c r="A64" s="8" t="s">
        <v>16</v>
      </c>
      <c r="B64" s="8"/>
      <c r="C64" s="1">
        <f t="shared" si="8"/>
        <v>78.819999999999993</v>
      </c>
      <c r="D64" s="1">
        <f>D14+D26+D38+D50</f>
        <v>21.810000000000002</v>
      </c>
      <c r="E64" s="1">
        <f t="shared" si="8"/>
        <v>7.92</v>
      </c>
      <c r="F64" s="1">
        <f t="shared" si="8"/>
        <v>0</v>
      </c>
      <c r="G64" s="1">
        <f t="shared" si="8"/>
        <v>25.2759292</v>
      </c>
      <c r="H64" s="1">
        <f t="shared" si="8"/>
        <v>8.51</v>
      </c>
      <c r="I64" s="35">
        <f t="shared" si="8"/>
        <v>1.5600000000000003</v>
      </c>
      <c r="J64" s="15">
        <f t="shared" si="8"/>
        <v>0.47000000000000003</v>
      </c>
      <c r="K64" s="1">
        <f t="shared" si="8"/>
        <v>4.0500000000000007</v>
      </c>
    </row>
    <row r="65" spans="1:15" x14ac:dyDescent="0.25">
      <c r="A65" s="8" t="s">
        <v>17</v>
      </c>
      <c r="B65" s="8"/>
      <c r="C65" s="1">
        <f t="shared" si="8"/>
        <v>74.94</v>
      </c>
      <c r="D65" s="1">
        <f>D15+D27+D39+D51</f>
        <v>15.89</v>
      </c>
      <c r="E65" s="1">
        <f t="shared" si="8"/>
        <v>1.98</v>
      </c>
      <c r="F65" s="1">
        <f t="shared" si="8"/>
        <v>0</v>
      </c>
      <c r="G65" s="1">
        <f t="shared" si="8"/>
        <v>22.759330599999998</v>
      </c>
      <c r="H65" s="1">
        <f t="shared" si="8"/>
        <v>7.6700000000000008</v>
      </c>
      <c r="I65" s="35">
        <f t="shared" si="8"/>
        <v>0</v>
      </c>
      <c r="J65" s="15">
        <f t="shared" si="8"/>
        <v>2.8000000000000007</v>
      </c>
      <c r="K65" s="1">
        <f t="shared" si="8"/>
        <v>5.3400000000000007</v>
      </c>
    </row>
    <row r="66" spans="1:15" x14ac:dyDescent="0.25">
      <c r="A66" s="8" t="s">
        <v>18</v>
      </c>
      <c r="B66" s="8"/>
      <c r="C66" s="1">
        <f>C16+C28+C40</f>
        <v>50.9</v>
      </c>
      <c r="D66" s="1">
        <f>D16+D28+D40</f>
        <v>5.5</v>
      </c>
      <c r="E66" s="1">
        <f t="shared" ref="E66:K67" si="9">E16+E28+E40</f>
        <v>0</v>
      </c>
      <c r="F66" s="1">
        <f t="shared" si="9"/>
        <v>0</v>
      </c>
      <c r="G66" s="1">
        <f t="shared" si="9"/>
        <v>12.193557</v>
      </c>
      <c r="H66" s="1">
        <f t="shared" si="9"/>
        <v>4.08</v>
      </c>
      <c r="I66" s="35">
        <f t="shared" si="9"/>
        <v>0</v>
      </c>
      <c r="J66" s="15">
        <f t="shared" si="9"/>
        <v>1.2499999999999998</v>
      </c>
      <c r="K66" s="1">
        <f t="shared" si="9"/>
        <v>2.85</v>
      </c>
    </row>
    <row r="67" spans="1:15" x14ac:dyDescent="0.25">
      <c r="A67" s="8" t="s">
        <v>19</v>
      </c>
      <c r="B67" s="8"/>
      <c r="C67" s="1">
        <f>C17+C29+C41</f>
        <v>50.9</v>
      </c>
      <c r="D67" s="1">
        <f>D17+D29+D41</f>
        <v>5.7</v>
      </c>
      <c r="E67" s="1">
        <f t="shared" si="9"/>
        <v>0</v>
      </c>
      <c r="F67" s="1">
        <f t="shared" si="9"/>
        <v>0</v>
      </c>
      <c r="G67" s="1">
        <f t="shared" si="9"/>
        <v>12.273454300000003</v>
      </c>
      <c r="H67" s="1">
        <f t="shared" si="9"/>
        <v>4.1099999999999994</v>
      </c>
      <c r="I67" s="35">
        <f t="shared" si="9"/>
        <v>3.3100000000000005</v>
      </c>
      <c r="J67" s="15">
        <f t="shared" si="9"/>
        <v>0.52</v>
      </c>
      <c r="K67" s="1">
        <f t="shared" si="9"/>
        <v>4.5200000000000005</v>
      </c>
    </row>
    <row r="68" spans="1:15" x14ac:dyDescent="0.25">
      <c r="A68" s="5" t="s">
        <v>20</v>
      </c>
      <c r="B68" s="8"/>
      <c r="C68" s="2">
        <f>SUM(C57:C67)</f>
        <v>1248.2800000000002</v>
      </c>
      <c r="D68" s="2">
        <f>SUM(D57:D67)</f>
        <v>258.71999999999997</v>
      </c>
      <c r="E68" s="2">
        <f t="shared" ref="E68:F68" si="10">SUM(E57:E67)</f>
        <v>93.63000000000001</v>
      </c>
      <c r="F68" s="2">
        <f t="shared" si="10"/>
        <v>10.130000000000001</v>
      </c>
      <c r="G68" s="2">
        <f>SUM(G57:G67)</f>
        <v>370.7539999</v>
      </c>
      <c r="H68" s="2">
        <f>SUM(H57:H67)</f>
        <v>124.78</v>
      </c>
      <c r="I68" s="33">
        <f t="shared" ref="I68:K68" si="11">SUM(I57:I67)</f>
        <v>29.869999999999997</v>
      </c>
      <c r="J68" s="16">
        <f t="shared" si="11"/>
        <v>9.0499999999999989</v>
      </c>
      <c r="K68" s="2">
        <f t="shared" si="11"/>
        <v>75.039999999999992</v>
      </c>
      <c r="M68" s="7">
        <v>1085.2</v>
      </c>
    </row>
    <row r="69" spans="1:15" x14ac:dyDescent="0.25">
      <c r="G69" s="11"/>
      <c r="M69" s="7">
        <v>447.98</v>
      </c>
    </row>
    <row r="70" spans="1:15" x14ac:dyDescent="0.25">
      <c r="M70" s="7">
        <f>M68-M69</f>
        <v>637.22</v>
      </c>
      <c r="O70" s="7">
        <v>1.47</v>
      </c>
    </row>
    <row r="71" spans="1:15" x14ac:dyDescent="0.25">
      <c r="G71" s="11"/>
      <c r="H71" s="11"/>
      <c r="I71" s="11"/>
      <c r="J71" s="11"/>
      <c r="K71" s="11"/>
      <c r="M71" s="7">
        <v>173.14</v>
      </c>
      <c r="O71" s="7">
        <v>3.53</v>
      </c>
    </row>
    <row r="72" spans="1:15" x14ac:dyDescent="0.25">
      <c r="M72" s="7">
        <f>M70-M71</f>
        <v>464.08000000000004</v>
      </c>
      <c r="O72" s="7">
        <f>SUM(O70:O71)</f>
        <v>5</v>
      </c>
    </row>
    <row r="73" spans="1:15" x14ac:dyDescent="0.25">
      <c r="M73" s="7">
        <v>5</v>
      </c>
    </row>
    <row r="74" spans="1:15" x14ac:dyDescent="0.25">
      <c r="M74" s="7">
        <f>M72-M73</f>
        <v>459.08000000000004</v>
      </c>
    </row>
  </sheetData>
  <mergeCells count="7">
    <mergeCell ref="I5:K5"/>
    <mergeCell ref="A5:A6"/>
    <mergeCell ref="B5:B6"/>
    <mergeCell ref="C5:D5"/>
    <mergeCell ref="E5:F5"/>
    <mergeCell ref="G5:G6"/>
    <mergeCell ref="H5:H6"/>
  </mergeCells>
  <pageMargins left="0.7" right="0.7" top="0.75" bottom="0.75" header="0.3" footer="0.3"/>
  <pageSetup paperSize="9" scale="8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4"/>
  <sheetViews>
    <sheetView workbookViewId="0">
      <selection activeCell="D43" sqref="D43"/>
    </sheetView>
  </sheetViews>
  <sheetFormatPr defaultColWidth="9.140625" defaultRowHeight="15" x14ac:dyDescent="0.25"/>
  <cols>
    <col min="1" max="1" width="25.85546875" style="7" bestFit="1" customWidth="1"/>
    <col min="2" max="2" width="11.5703125" style="7" bestFit="1" customWidth="1"/>
    <col min="3" max="3" width="16.7109375" style="7" customWidth="1"/>
    <col min="4" max="4" width="16.85546875" style="7" customWidth="1"/>
    <col min="5" max="5" width="13.42578125" style="7" customWidth="1"/>
    <col min="6" max="6" width="15.42578125" style="7" customWidth="1"/>
    <col min="7" max="7" width="12" style="7" customWidth="1"/>
    <col min="8" max="8" width="10.7109375" style="7" customWidth="1"/>
    <col min="9" max="9" width="11" style="7" hidden="1" customWidth="1"/>
    <col min="10" max="10" width="12.7109375" style="7" hidden="1" customWidth="1"/>
    <col min="11" max="11" width="12" style="7" hidden="1" customWidth="1"/>
    <col min="12" max="12" width="13.85546875" style="7" hidden="1" customWidth="1"/>
    <col min="13" max="15" width="0" style="7" hidden="1" customWidth="1"/>
    <col min="16" max="16384" width="9.140625" style="7"/>
  </cols>
  <sheetData>
    <row r="1" spans="1:14" x14ac:dyDescent="0.25">
      <c r="A1" s="6" t="s">
        <v>0</v>
      </c>
    </row>
    <row r="2" spans="1:14" x14ac:dyDescent="0.25">
      <c r="A2" s="6" t="s">
        <v>47</v>
      </c>
    </row>
    <row r="3" spans="1:14" x14ac:dyDescent="0.25">
      <c r="A3" s="6"/>
    </row>
    <row r="4" spans="1:14" x14ac:dyDescent="0.25">
      <c r="A4" s="6"/>
    </row>
    <row r="5" spans="1:14" ht="15.75" customHeight="1" x14ac:dyDescent="0.25">
      <c r="A5" s="70" t="s">
        <v>1</v>
      </c>
      <c r="B5" s="70" t="s">
        <v>2</v>
      </c>
      <c r="C5" s="70" t="s">
        <v>3</v>
      </c>
      <c r="D5" s="70"/>
      <c r="E5" s="70" t="s">
        <v>4</v>
      </c>
      <c r="F5" s="70"/>
      <c r="G5" s="70" t="s">
        <v>5</v>
      </c>
      <c r="H5" s="70" t="s">
        <v>6</v>
      </c>
      <c r="I5" s="78"/>
      <c r="J5" s="78"/>
      <c r="K5" s="79"/>
    </row>
    <row r="6" spans="1:14" ht="78.75" x14ac:dyDescent="0.25">
      <c r="A6" s="70"/>
      <c r="B6" s="70"/>
      <c r="C6" s="40" t="s">
        <v>7</v>
      </c>
      <c r="D6" s="41" t="s">
        <v>46</v>
      </c>
      <c r="E6" s="40" t="s">
        <v>7</v>
      </c>
      <c r="F6" s="40" t="s">
        <v>46</v>
      </c>
      <c r="G6" s="70"/>
      <c r="H6" s="70"/>
      <c r="I6" s="39" t="s">
        <v>24</v>
      </c>
      <c r="J6" s="40" t="s">
        <v>26</v>
      </c>
      <c r="K6" s="40" t="s">
        <v>25</v>
      </c>
    </row>
    <row r="7" spans="1:14" x14ac:dyDescent="0.25">
      <c r="A7" s="8" t="s">
        <v>8</v>
      </c>
      <c r="B7" s="1" t="s">
        <v>9</v>
      </c>
      <c r="C7" s="3">
        <v>205</v>
      </c>
      <c r="D7" s="3">
        <v>24.72</v>
      </c>
      <c r="E7" s="1">
        <f>'[1]Working File'!E6</f>
        <v>0</v>
      </c>
      <c r="F7" s="1">
        <f>'[1]Working File'!F6</f>
        <v>0</v>
      </c>
      <c r="G7" s="1">
        <v>51.301000000000002</v>
      </c>
      <c r="H7" s="1">
        <v>17.079999999999998</v>
      </c>
      <c r="I7" s="32">
        <f>0.05+0.27+0.4+0.41+0.54+0.52+0.55+0.54+0.55+0.58+0.57+0.59+0.61+0.64+0.66+0.68+0.7+0.69+0.72+0.68</f>
        <v>10.95</v>
      </c>
      <c r="J7" s="1"/>
      <c r="K7" s="1">
        <f>2.46+2.46+2.46+2.46+2.78+2.78+2.78</f>
        <v>18.18</v>
      </c>
    </row>
    <row r="8" spans="1:14" ht="15.75" x14ac:dyDescent="0.3">
      <c r="A8" s="8" t="s">
        <v>10</v>
      </c>
      <c r="B8" s="1" t="s">
        <v>9</v>
      </c>
      <c r="C8" s="3">
        <f>111+50+50+40</f>
        <v>251</v>
      </c>
      <c r="D8" s="3">
        <v>26.62</v>
      </c>
      <c r="E8" s="1">
        <f>'[1]Working File'!E7</f>
        <v>0</v>
      </c>
      <c r="F8" s="1">
        <f>'[1]Working File'!F7</f>
        <v>0</v>
      </c>
      <c r="G8" s="1">
        <f>19.82+12.1+11.85+9.9</f>
        <v>53.67</v>
      </c>
      <c r="H8" s="1">
        <f>6.6+4.03+3.94+3.29</f>
        <v>17.86</v>
      </c>
      <c r="I8" s="32">
        <f>0.51+0.45+0.46+0.44+0.48+0.48+0.44</f>
        <v>3.26</v>
      </c>
      <c r="J8" s="1">
        <f>0.46+0.47+0.43</f>
        <v>1.3599999999999999</v>
      </c>
      <c r="K8" s="1">
        <f>3.01+3.01+3.01+3.01</f>
        <v>12.04</v>
      </c>
      <c r="L8" s="9"/>
    </row>
    <row r="9" spans="1:14" ht="15.75" hidden="1" x14ac:dyDescent="0.3">
      <c r="A9" s="8" t="s">
        <v>11</v>
      </c>
      <c r="B9" s="1" t="s">
        <v>9</v>
      </c>
      <c r="C9" s="3"/>
      <c r="D9" s="3"/>
      <c r="E9" s="1">
        <f>'[1]Working File'!E8</f>
        <v>0</v>
      </c>
      <c r="F9" s="1">
        <f>'[1]Working File'!F8</f>
        <v>0</v>
      </c>
      <c r="G9" s="1"/>
      <c r="H9" s="1"/>
      <c r="I9" s="32"/>
      <c r="J9" s="1"/>
      <c r="K9" s="1"/>
      <c r="L9" s="9"/>
    </row>
    <row r="10" spans="1:14" ht="15.75" hidden="1" x14ac:dyDescent="0.3">
      <c r="A10" s="8" t="s">
        <v>12</v>
      </c>
      <c r="B10" s="1" t="s">
        <v>9</v>
      </c>
      <c r="C10" s="3"/>
      <c r="D10" s="3"/>
      <c r="E10" s="1">
        <f>'[1]Working File'!E9</f>
        <v>0</v>
      </c>
      <c r="F10" s="1">
        <f>'[1]Working File'!F9</f>
        <v>0</v>
      </c>
      <c r="G10" s="1"/>
      <c r="H10" s="1"/>
      <c r="I10" s="32"/>
      <c r="J10" s="1"/>
      <c r="K10" s="1"/>
      <c r="L10" s="9"/>
      <c r="M10" s="7">
        <v>535</v>
      </c>
      <c r="N10" s="7">
        <v>265</v>
      </c>
    </row>
    <row r="11" spans="1:14" ht="15.75" hidden="1" x14ac:dyDescent="0.3">
      <c r="A11" s="8" t="s">
        <v>13</v>
      </c>
      <c r="B11" s="1" t="s">
        <v>9</v>
      </c>
      <c r="C11" s="3"/>
      <c r="D11" s="3"/>
      <c r="E11" s="1">
        <f>'[1]Working File'!E10</f>
        <v>0</v>
      </c>
      <c r="F11" s="1">
        <f>'[1]Working File'!F10</f>
        <v>0</v>
      </c>
      <c r="G11" s="1"/>
      <c r="H11" s="1"/>
      <c r="I11" s="32"/>
      <c r="J11" s="1"/>
      <c r="K11" s="1"/>
      <c r="L11" s="9"/>
    </row>
    <row r="12" spans="1:14" ht="15.75" x14ac:dyDescent="0.3">
      <c r="A12" s="8" t="s">
        <v>14</v>
      </c>
      <c r="B12" s="1" t="s">
        <v>9</v>
      </c>
      <c r="C12" s="3">
        <v>130</v>
      </c>
      <c r="D12" s="3">
        <v>15.72</v>
      </c>
      <c r="E12" s="1">
        <f>'[1]Working File'!E11</f>
        <v>0</v>
      </c>
      <c r="F12" s="1">
        <f>'[1]Working File'!F11</f>
        <v>0</v>
      </c>
      <c r="G12" s="1">
        <v>32.909999999999997</v>
      </c>
      <c r="H12" s="1">
        <v>10.95</v>
      </c>
      <c r="I12" s="32">
        <f>0.19+0.33+0.3+0.32+0.32+0.33+0.33+0.37+0.34+0.34+0.36+0.36+0.38+0.39+0.36</f>
        <v>5.0199999999999996</v>
      </c>
      <c r="J12" s="1"/>
      <c r="K12" s="1">
        <f>1.76+1.76+1.76+1.76+1.76</f>
        <v>8.8000000000000007</v>
      </c>
      <c r="L12" s="9"/>
    </row>
    <row r="13" spans="1:14" ht="15.75" x14ac:dyDescent="0.3">
      <c r="A13" s="8" t="s">
        <v>15</v>
      </c>
      <c r="B13" s="1" t="s">
        <v>9</v>
      </c>
      <c r="C13" s="3">
        <v>65</v>
      </c>
      <c r="D13" s="3">
        <v>7.47</v>
      </c>
      <c r="E13" s="1">
        <f>'[1]Working File'!E12</f>
        <v>0</v>
      </c>
      <c r="F13" s="1">
        <f>'[1]Working File'!F12</f>
        <v>0</v>
      </c>
      <c r="G13" s="1">
        <v>16.22</v>
      </c>
      <c r="H13" s="1">
        <v>5.4</v>
      </c>
      <c r="I13" s="32"/>
      <c r="J13" s="1">
        <f>0.07+0.12+0.13+0.14+0.14+0.14+0.14+0.14+0.14+0.13+0.13+0.12+0.13+0.13+0.11</f>
        <v>1.91</v>
      </c>
      <c r="K13" s="1">
        <f>0.91+0.91+0.91+0.91+0.91+0.91+0.91-0.23</f>
        <v>6.14</v>
      </c>
      <c r="L13" s="9"/>
    </row>
    <row r="14" spans="1:14" x14ac:dyDescent="0.25">
      <c r="A14" s="8" t="s">
        <v>16</v>
      </c>
      <c r="B14" s="1" t="s">
        <v>9</v>
      </c>
      <c r="C14" s="3">
        <v>50</v>
      </c>
      <c r="D14" s="3">
        <v>6.12</v>
      </c>
      <c r="E14" s="1">
        <f>'[1]Working File'!E13</f>
        <v>0</v>
      </c>
      <c r="F14" s="1">
        <f>'[1]Working File'!F13</f>
        <v>0</v>
      </c>
      <c r="G14" s="1">
        <v>12.15</v>
      </c>
      <c r="H14" s="1">
        <v>4.04</v>
      </c>
      <c r="I14" s="32">
        <f>0.13+0.12+0.12+0.12+0.12+0.12+0.12+0.12+0.13+0.13+0.13</f>
        <v>1.3599999999999999</v>
      </c>
      <c r="J14" s="1">
        <f>0.14+0.14+0.13</f>
        <v>0.41000000000000003</v>
      </c>
      <c r="K14" s="1">
        <f>0.68+0.68+0.68+0.68+0.68</f>
        <v>3.4000000000000004</v>
      </c>
    </row>
    <row r="15" spans="1:14" x14ac:dyDescent="0.25">
      <c r="A15" s="8" t="s">
        <v>17</v>
      </c>
      <c r="B15" s="1" t="s">
        <v>9</v>
      </c>
      <c r="C15" s="3">
        <v>50</v>
      </c>
      <c r="D15" s="3">
        <v>6.1</v>
      </c>
      <c r="E15" s="1">
        <f>'[1]Working File'!E14</f>
        <v>0</v>
      </c>
      <c r="F15" s="1">
        <f>'[1]Working File'!F14</f>
        <v>0</v>
      </c>
      <c r="G15" s="1">
        <v>12.1</v>
      </c>
      <c r="H15" s="1">
        <v>4.03</v>
      </c>
      <c r="I15" s="32"/>
      <c r="J15" s="1">
        <f>0.14+0.13+0.14+0.14+0.13+0.14+0.13+0.14+0.13+0.14+0.14+0.13+0.14+0.13+0.14+0.13+0.12</f>
        <v>2.2900000000000005</v>
      </c>
      <c r="K15" s="1">
        <f>0.49+0.68+0.68+0.68+0.68+0.68+0.68-0.1</f>
        <v>4.4700000000000006</v>
      </c>
    </row>
    <row r="16" spans="1:14" x14ac:dyDescent="0.25">
      <c r="A16" s="8" t="s">
        <v>18</v>
      </c>
      <c r="B16" s="1" t="s">
        <v>9</v>
      </c>
      <c r="C16" s="3">
        <v>40</v>
      </c>
      <c r="D16" s="3">
        <v>5.12</v>
      </c>
      <c r="E16" s="1">
        <f>'[1]Working File'!E15</f>
        <v>0</v>
      </c>
      <c r="F16" s="1">
        <f>'[1]Working File'!F15</f>
        <v>0</v>
      </c>
      <c r="G16" s="1">
        <v>9.83</v>
      </c>
      <c r="H16" s="1">
        <v>3.27</v>
      </c>
      <c r="I16" s="32"/>
      <c r="J16" s="1">
        <f>0.04+0.08+0.08+0.08+0.08+0.08+0.08+0.08+0.08+0.08+0.08+0.08+0.07</f>
        <v>0.98999999999999977</v>
      </c>
      <c r="K16" s="1">
        <f>0.48+0.56+0.56+0.56+0.56-0.17</f>
        <v>2.5500000000000003</v>
      </c>
      <c r="N16" s="7">
        <v>186.43</v>
      </c>
    </row>
    <row r="17" spans="1:14" x14ac:dyDescent="0.25">
      <c r="A17" s="8" t="s">
        <v>19</v>
      </c>
      <c r="B17" s="1" t="s">
        <v>9</v>
      </c>
      <c r="C17" s="3">
        <v>40</v>
      </c>
      <c r="D17" s="3">
        <v>5.32</v>
      </c>
      <c r="E17" s="1">
        <f>'[1]Working File'!E16</f>
        <v>0</v>
      </c>
      <c r="F17" s="1">
        <f>'[1]Working File'!F16</f>
        <v>0</v>
      </c>
      <c r="G17" s="1">
        <v>9.9</v>
      </c>
      <c r="H17" s="1">
        <v>3.3</v>
      </c>
      <c r="I17" s="32">
        <f>0.07+0.13+0.12+0.13+0.13+0.13+0.13+0.13+0.14+0.14+0.13+0.14+0.14+0.15+0.14+0.15+0.15+0.15+0.16+0.15</f>
        <v>2.71</v>
      </c>
      <c r="J17" s="1">
        <f>0.15+0.15+0.14</f>
        <v>0.44</v>
      </c>
      <c r="K17" s="1">
        <f>0.46+0.56+0.56+0.56+0.56+0.56+0.56-0.07</f>
        <v>3.7500000000000004</v>
      </c>
      <c r="N17" s="7">
        <v>13.12</v>
      </c>
    </row>
    <row r="18" spans="1:14" x14ac:dyDescent="0.25">
      <c r="A18" s="5" t="s">
        <v>20</v>
      </c>
      <c r="B18" s="8"/>
      <c r="C18" s="10">
        <f t="shared" ref="C18:G18" si="0">SUM(C7:C17)</f>
        <v>831</v>
      </c>
      <c r="D18" s="2">
        <f>SUM(D7:D17)</f>
        <v>97.19</v>
      </c>
      <c r="E18" s="2">
        <f t="shared" si="0"/>
        <v>0</v>
      </c>
      <c r="F18" s="2">
        <f t="shared" si="0"/>
        <v>0</v>
      </c>
      <c r="G18" s="2">
        <f t="shared" si="0"/>
        <v>198.08100000000002</v>
      </c>
      <c r="H18" s="2">
        <f>SUM(H7:H17)</f>
        <v>65.930000000000007</v>
      </c>
      <c r="I18" s="33">
        <f>SUM(I7:I17)</f>
        <v>23.299999999999997</v>
      </c>
      <c r="J18" s="16">
        <f t="shared" ref="J18" si="1">SUM(J7:J17)</f>
        <v>7.4000000000000012</v>
      </c>
      <c r="K18" s="2">
        <f>SUM(K7:K17)</f>
        <v>59.329999999999991</v>
      </c>
      <c r="N18" s="7">
        <f>N16-N17</f>
        <v>173.31</v>
      </c>
    </row>
    <row r="19" spans="1:14" x14ac:dyDescent="0.25">
      <c r="A19" s="8" t="s">
        <v>8</v>
      </c>
      <c r="B19" s="1" t="s">
        <v>22</v>
      </c>
      <c r="C19" s="3">
        <v>72</v>
      </c>
      <c r="D19" s="3">
        <v>9.43</v>
      </c>
      <c r="E19" s="13">
        <v>0</v>
      </c>
      <c r="F19" s="13">
        <v>0</v>
      </c>
      <c r="G19" s="1">
        <v>22.06</v>
      </c>
      <c r="H19" s="1">
        <v>7.45</v>
      </c>
      <c r="I19" s="32">
        <f>0.05+0.21+0.22+0.22+0.23+0.22+0.23+0.23+0.22+0.26+0.24+0.25+0.25+0.25+0.26+0.25+0.27+0.25</f>
        <v>4.1099999999999994</v>
      </c>
      <c r="J19" s="1"/>
      <c r="K19" s="1">
        <f>0.95+0.95+0.95+0.95+0.95+0.95+0.95</f>
        <v>6.65</v>
      </c>
    </row>
    <row r="20" spans="1:14" x14ac:dyDescent="0.25">
      <c r="A20" s="8" t="s">
        <v>10</v>
      </c>
      <c r="B20" s="1" t="s">
        <v>22</v>
      </c>
      <c r="C20" s="3">
        <f>13.24+8.16+8.12+6.64</f>
        <v>36.159999999999997</v>
      </c>
      <c r="D20" s="3">
        <v>5.84</v>
      </c>
      <c r="E20" s="13">
        <v>0</v>
      </c>
      <c r="F20" s="13">
        <v>0</v>
      </c>
      <c r="G20" s="1">
        <f>3.84+2.14+1.88+1.61</f>
        <v>9.4700000000000006</v>
      </c>
      <c r="H20" s="1">
        <f>1.3+0.72+0.64+0.54</f>
        <v>3.2</v>
      </c>
      <c r="I20" s="32">
        <f>0.09+0.09+0.09+0.09+0.12+0.12+0.1</f>
        <v>0.7</v>
      </c>
      <c r="J20" s="1">
        <f>0.11+0.11+0.1</f>
        <v>0.32</v>
      </c>
      <c r="K20" s="1">
        <f>0.4+0.44+0.52+0.52</f>
        <v>1.8800000000000001</v>
      </c>
    </row>
    <row r="21" spans="1:14" hidden="1" x14ac:dyDescent="0.25">
      <c r="A21" s="8" t="s">
        <v>11</v>
      </c>
      <c r="B21" s="1" t="s">
        <v>22</v>
      </c>
      <c r="C21" s="3"/>
      <c r="D21" s="3"/>
      <c r="E21" s="13">
        <v>0</v>
      </c>
      <c r="F21" s="13">
        <v>0</v>
      </c>
      <c r="G21" s="1"/>
      <c r="H21" s="1"/>
      <c r="I21" s="32"/>
      <c r="J21" s="1"/>
      <c r="K21" s="1"/>
    </row>
    <row r="22" spans="1:14" hidden="1" x14ac:dyDescent="0.25">
      <c r="A22" s="8" t="s">
        <v>12</v>
      </c>
      <c r="B22" s="1" t="s">
        <v>22</v>
      </c>
      <c r="C22" s="3"/>
      <c r="D22" s="3"/>
      <c r="E22" s="13">
        <v>0</v>
      </c>
      <c r="F22" s="13">
        <v>0</v>
      </c>
      <c r="G22" s="1"/>
      <c r="H22" s="1"/>
      <c r="I22" s="32"/>
      <c r="J22" s="1"/>
      <c r="K22" s="1"/>
    </row>
    <row r="23" spans="1:14" hidden="1" x14ac:dyDescent="0.25">
      <c r="A23" s="8" t="s">
        <v>13</v>
      </c>
      <c r="B23" s="1" t="s">
        <v>22</v>
      </c>
      <c r="C23" s="3"/>
      <c r="D23" s="3"/>
      <c r="E23" s="13">
        <v>0</v>
      </c>
      <c r="F23" s="13">
        <v>0</v>
      </c>
      <c r="G23" s="1"/>
      <c r="H23" s="1"/>
      <c r="I23" s="32"/>
      <c r="J23" s="1"/>
      <c r="K23" s="1"/>
    </row>
    <row r="24" spans="1:14" x14ac:dyDescent="0.25">
      <c r="A24" s="8" t="s">
        <v>14</v>
      </c>
      <c r="B24" s="1" t="s">
        <v>22</v>
      </c>
      <c r="C24" s="3">
        <v>21.42</v>
      </c>
      <c r="D24" s="3">
        <v>2.9</v>
      </c>
      <c r="E24" s="13">
        <v>0</v>
      </c>
      <c r="F24" s="13">
        <v>0</v>
      </c>
      <c r="G24" s="1">
        <v>6.83</v>
      </c>
      <c r="H24" s="1">
        <v>2.31</v>
      </c>
      <c r="I24" s="32">
        <f>0.06+0.06+0.06+0.06+0.06+0.06+0.06+0.06+0.06+0.06+0.06+0.06+0.06+0.07+0.06</f>
        <v>0.91000000000000036</v>
      </c>
      <c r="J24" s="1"/>
      <c r="K24" s="1">
        <f>0.28+0.28+0.28+0.28+0.28</f>
        <v>1.4000000000000001</v>
      </c>
      <c r="L24" s="4"/>
    </row>
    <row r="25" spans="1:14" x14ac:dyDescent="0.25">
      <c r="A25" s="8" t="s">
        <v>15</v>
      </c>
      <c r="B25" s="1" t="s">
        <v>22</v>
      </c>
      <c r="C25" s="3">
        <v>10.88</v>
      </c>
      <c r="D25" s="3">
        <v>1.68</v>
      </c>
      <c r="E25" s="13">
        <v>0</v>
      </c>
      <c r="F25" s="13">
        <v>0</v>
      </c>
      <c r="G25" s="1">
        <v>2.71</v>
      </c>
      <c r="H25" s="1">
        <v>0.92</v>
      </c>
      <c r="I25" s="32"/>
      <c r="J25" s="1">
        <f>0.03+0.03+0.03+0.03+0.03+0.03+0.03+0.03+0.03+0.03+0.03+0.03+0.03+0.03</f>
        <v>0.42000000000000015</v>
      </c>
      <c r="K25" s="1">
        <f>0.18+0.18+0.18+0.18+0.18+0.18+0.18-0.07</f>
        <v>1.1899999999999997</v>
      </c>
      <c r="L25" s="4"/>
    </row>
    <row r="26" spans="1:14" x14ac:dyDescent="0.25">
      <c r="A26" s="8" t="s">
        <v>16</v>
      </c>
      <c r="B26" s="1" t="s">
        <v>22</v>
      </c>
      <c r="C26" s="3">
        <v>8.1199999999999992</v>
      </c>
      <c r="D26" s="3">
        <v>1.08</v>
      </c>
      <c r="E26" s="13">
        <v>0</v>
      </c>
      <c r="F26" s="13">
        <v>0</v>
      </c>
      <c r="G26" s="1">
        <v>1.88</v>
      </c>
      <c r="H26" s="1">
        <v>0.63</v>
      </c>
      <c r="I26" s="32">
        <f>0.02+0.02+0.02+0.02+0.02+0.02+0.02+0.02+0.02+0.02+0.02</f>
        <v>0.21999999999999997</v>
      </c>
      <c r="J26" s="1">
        <f>0.02+0.02+0.02</f>
        <v>0.06</v>
      </c>
      <c r="K26" s="1">
        <f>0.13+0.13+0.13+0.13+0.13</f>
        <v>0.65</v>
      </c>
      <c r="L26" s="11"/>
    </row>
    <row r="27" spans="1:14" x14ac:dyDescent="0.25">
      <c r="A27" s="8" t="s">
        <v>17</v>
      </c>
      <c r="B27" s="1" t="s">
        <v>22</v>
      </c>
      <c r="C27" s="3">
        <v>8.1199999999999992</v>
      </c>
      <c r="D27" s="3">
        <v>1.29</v>
      </c>
      <c r="E27" s="13">
        <v>0</v>
      </c>
      <c r="F27" s="13">
        <v>0</v>
      </c>
      <c r="G27" s="1">
        <v>2.04</v>
      </c>
      <c r="H27" s="1">
        <v>0.69</v>
      </c>
      <c r="I27" s="32"/>
      <c r="J27" s="1">
        <f>0.03+0.03+0.03+0.03+0.03+0.03+0.03+0.03+0.03+0.03+0.03+0.03+0.03+0.03+0.03+0.03+0.03</f>
        <v>0.51000000000000023</v>
      </c>
      <c r="K27" s="1">
        <f>0.09+0.13+0.13+0.13+0.13+0.13+0.13</f>
        <v>0.87</v>
      </c>
    </row>
    <row r="28" spans="1:14" x14ac:dyDescent="0.25">
      <c r="A28" s="8" t="s">
        <v>18</v>
      </c>
      <c r="B28" s="1" t="s">
        <v>22</v>
      </c>
      <c r="C28" s="3">
        <v>6.65</v>
      </c>
      <c r="D28" s="3">
        <v>1.1599999999999999</v>
      </c>
      <c r="E28" s="13">
        <v>0</v>
      </c>
      <c r="F28" s="13">
        <v>0</v>
      </c>
      <c r="G28" s="1">
        <v>1.53</v>
      </c>
      <c r="H28" s="1">
        <v>0.52</v>
      </c>
      <c r="I28" s="32"/>
      <c r="J28" s="1">
        <f>0.02+0.02+0.02+0.02+0.02+0.02+0.02+0.02+0.02+0.02+0.02+0.02+0.02</f>
        <v>0.25999999999999995</v>
      </c>
      <c r="K28" s="1">
        <f>0.08+0.11+0.11</f>
        <v>0.3</v>
      </c>
    </row>
    <row r="29" spans="1:14" x14ac:dyDescent="0.25">
      <c r="A29" s="8" t="s">
        <v>19</v>
      </c>
      <c r="B29" s="1" t="s">
        <v>22</v>
      </c>
      <c r="C29" s="3">
        <v>6.65</v>
      </c>
      <c r="D29" s="3">
        <v>1.19</v>
      </c>
      <c r="E29" s="13">
        <v>0</v>
      </c>
      <c r="F29" s="13">
        <v>0</v>
      </c>
      <c r="G29" s="1">
        <v>1.54</v>
      </c>
      <c r="H29" s="1">
        <v>0.52</v>
      </c>
      <c r="I29" s="32">
        <f>0.03+0.03+0.03+0.03+0.03+0.03+0.03+0.03+0.03+0.03+0.03+0.03+0.03+0.03+0.03+0.03+0.03+0.03+0.03+0.03</f>
        <v>0.60000000000000031</v>
      </c>
      <c r="J29" s="1">
        <f>0.03+0.03+0.02</f>
        <v>0.08</v>
      </c>
      <c r="K29" s="1">
        <f>0.11+0.11+0.11+0.11+0.11+0.11+0.11</f>
        <v>0.77</v>
      </c>
    </row>
    <row r="30" spans="1:14" x14ac:dyDescent="0.25">
      <c r="A30" s="5" t="s">
        <v>20</v>
      </c>
      <c r="B30" s="8"/>
      <c r="C30" s="10">
        <f t="shared" ref="C30:J30" si="2">SUM(C19:C29)</f>
        <v>170</v>
      </c>
      <c r="D30" s="2">
        <f>SUM(D19:D29)</f>
        <v>24.57</v>
      </c>
      <c r="E30" s="2">
        <f t="shared" si="2"/>
        <v>0</v>
      </c>
      <c r="F30" s="2">
        <f t="shared" si="2"/>
        <v>0</v>
      </c>
      <c r="G30" s="2">
        <f t="shared" si="2"/>
        <v>48.06</v>
      </c>
      <c r="H30" s="2">
        <f t="shared" si="2"/>
        <v>16.240000000000002</v>
      </c>
      <c r="I30" s="33">
        <f>SUM(I19:I29)</f>
        <v>6.54</v>
      </c>
      <c r="J30" s="16">
        <f t="shared" si="2"/>
        <v>1.6500000000000006</v>
      </c>
      <c r="K30" s="2">
        <f>SUM(K19:K29)</f>
        <v>13.71</v>
      </c>
      <c r="L30" s="7">
        <v>48.06</v>
      </c>
    </row>
    <row r="31" spans="1:14" x14ac:dyDescent="0.25">
      <c r="A31" s="8" t="s">
        <v>8</v>
      </c>
      <c r="B31" s="1" t="s">
        <v>23</v>
      </c>
      <c r="C31" s="3">
        <v>21.61</v>
      </c>
      <c r="D31" s="1">
        <v>0</v>
      </c>
      <c r="E31" s="12">
        <v>0</v>
      </c>
      <c r="F31" s="12">
        <v>0</v>
      </c>
      <c r="G31" s="1">
        <v>4.2160000000000002</v>
      </c>
      <c r="H31" s="1">
        <v>1.43</v>
      </c>
      <c r="I31" s="32">
        <v>0</v>
      </c>
      <c r="J31" s="1">
        <v>0</v>
      </c>
      <c r="K31" s="1">
        <v>0</v>
      </c>
    </row>
    <row r="32" spans="1:14" x14ac:dyDescent="0.25">
      <c r="A32" s="8" t="s">
        <v>10</v>
      </c>
      <c r="B32" s="1" t="s">
        <v>23</v>
      </c>
      <c r="C32" s="3">
        <f>8.44+5.21+5.19+4.24</f>
        <v>23.08</v>
      </c>
      <c r="D32" s="1">
        <v>0</v>
      </c>
      <c r="E32" s="12">
        <v>0</v>
      </c>
      <c r="F32" s="12">
        <v>0</v>
      </c>
      <c r="G32" s="1">
        <f>1.675+1.04+1.03+0.85</f>
        <v>4.5949999999999998</v>
      </c>
      <c r="H32" s="1">
        <f>0.57+0.35+0.35+0.29</f>
        <v>1.56</v>
      </c>
      <c r="I32" s="32">
        <f>0.03+0.03+0.03+0.03</f>
        <v>0.12</v>
      </c>
      <c r="J32" s="1">
        <v>0</v>
      </c>
      <c r="K32" s="1">
        <f>0.48+0.54-0.1+0.54+0.54</f>
        <v>2</v>
      </c>
    </row>
    <row r="33" spans="1:15" hidden="1" x14ac:dyDescent="0.25">
      <c r="A33" s="8" t="s">
        <v>11</v>
      </c>
      <c r="B33" s="1" t="s">
        <v>23</v>
      </c>
      <c r="C33" s="3"/>
      <c r="D33" s="1">
        <v>0</v>
      </c>
      <c r="E33" s="12">
        <v>0</v>
      </c>
      <c r="F33" s="12">
        <v>0</v>
      </c>
      <c r="G33" s="1"/>
      <c r="H33" s="1"/>
      <c r="I33" s="32">
        <v>0</v>
      </c>
      <c r="J33" s="1">
        <v>0</v>
      </c>
      <c r="K33" s="1">
        <v>0</v>
      </c>
    </row>
    <row r="34" spans="1:15" hidden="1" x14ac:dyDescent="0.25">
      <c r="A34" s="8" t="s">
        <v>12</v>
      </c>
      <c r="B34" s="1" t="s">
        <v>23</v>
      </c>
      <c r="C34" s="3"/>
      <c r="D34" s="1">
        <v>0</v>
      </c>
      <c r="E34" s="12">
        <v>0</v>
      </c>
      <c r="F34" s="12">
        <v>0</v>
      </c>
      <c r="G34" s="1"/>
      <c r="H34" s="1"/>
      <c r="I34" s="32">
        <v>0</v>
      </c>
      <c r="J34" s="1">
        <v>0</v>
      </c>
      <c r="K34" s="1">
        <v>0</v>
      </c>
    </row>
    <row r="35" spans="1:15" hidden="1" x14ac:dyDescent="0.25">
      <c r="A35" s="8" t="s">
        <v>13</v>
      </c>
      <c r="B35" s="1" t="s">
        <v>23</v>
      </c>
      <c r="C35" s="3"/>
      <c r="D35" s="1">
        <v>0</v>
      </c>
      <c r="E35" s="12">
        <v>0</v>
      </c>
      <c r="F35" s="12">
        <v>0</v>
      </c>
      <c r="G35" s="1"/>
      <c r="H35" s="1"/>
      <c r="I35" s="32">
        <v>0</v>
      </c>
      <c r="J35" s="1">
        <v>0</v>
      </c>
      <c r="K35" s="1">
        <v>0</v>
      </c>
    </row>
    <row r="36" spans="1:15" x14ac:dyDescent="0.25">
      <c r="A36" s="8" t="s">
        <v>14</v>
      </c>
      <c r="B36" s="1" t="s">
        <v>23</v>
      </c>
      <c r="C36" s="3">
        <v>13.68</v>
      </c>
      <c r="D36" s="1">
        <v>0</v>
      </c>
      <c r="E36" s="12">
        <v>0</v>
      </c>
      <c r="F36" s="12">
        <v>0</v>
      </c>
      <c r="G36" s="1">
        <v>2.7759999999999998</v>
      </c>
      <c r="H36" s="1">
        <v>0.94</v>
      </c>
      <c r="I36" s="32">
        <v>0</v>
      </c>
      <c r="J36" s="1">
        <v>0</v>
      </c>
      <c r="K36" s="1">
        <v>0</v>
      </c>
    </row>
    <row r="37" spans="1:15" x14ac:dyDescent="0.25">
      <c r="A37" s="8" t="s">
        <v>15</v>
      </c>
      <c r="B37" s="1" t="s">
        <v>23</v>
      </c>
      <c r="C37" s="3">
        <v>6.95</v>
      </c>
      <c r="D37" s="1">
        <v>0</v>
      </c>
      <c r="E37" s="12">
        <v>0</v>
      </c>
      <c r="F37" s="12">
        <v>0</v>
      </c>
      <c r="G37" s="1">
        <v>1.34</v>
      </c>
      <c r="H37" s="1">
        <v>0.45</v>
      </c>
      <c r="I37" s="32">
        <v>0</v>
      </c>
      <c r="J37" s="1">
        <v>0</v>
      </c>
      <c r="K37" s="1">
        <v>0</v>
      </c>
    </row>
    <row r="38" spans="1:15" x14ac:dyDescent="0.25">
      <c r="A38" s="8" t="s">
        <v>16</v>
      </c>
      <c r="B38" s="1" t="s">
        <v>23</v>
      </c>
      <c r="C38" s="3">
        <v>5.19</v>
      </c>
      <c r="D38" s="1">
        <v>0</v>
      </c>
      <c r="E38" s="12">
        <v>0</v>
      </c>
      <c r="F38" s="12">
        <v>0</v>
      </c>
      <c r="G38" s="1">
        <v>1.04</v>
      </c>
      <c r="H38" s="1">
        <v>0.35</v>
      </c>
      <c r="I38" s="32">
        <v>0</v>
      </c>
      <c r="J38" s="1">
        <v>0</v>
      </c>
      <c r="K38" s="1">
        <v>0</v>
      </c>
    </row>
    <row r="39" spans="1:15" x14ac:dyDescent="0.25">
      <c r="A39" s="8" t="s">
        <v>17</v>
      </c>
      <c r="B39" s="1" t="s">
        <v>23</v>
      </c>
      <c r="C39" s="3">
        <v>5.19</v>
      </c>
      <c r="D39" s="1">
        <v>0</v>
      </c>
      <c r="E39" s="12">
        <v>0</v>
      </c>
      <c r="F39" s="12">
        <v>0</v>
      </c>
      <c r="G39" s="1">
        <v>0.97</v>
      </c>
      <c r="H39" s="1">
        <v>0.33</v>
      </c>
      <c r="I39" s="32">
        <v>0</v>
      </c>
      <c r="J39" s="1">
        <v>0</v>
      </c>
      <c r="K39" s="1">
        <v>0</v>
      </c>
    </row>
    <row r="40" spans="1:15" x14ac:dyDescent="0.25">
      <c r="A40" s="8" t="s">
        <v>18</v>
      </c>
      <c r="B40" s="1" t="s">
        <v>23</v>
      </c>
      <c r="C40" s="3">
        <v>4.25</v>
      </c>
      <c r="D40" s="1">
        <v>0</v>
      </c>
      <c r="E40" s="12">
        <v>0</v>
      </c>
      <c r="F40" s="12">
        <v>0</v>
      </c>
      <c r="G40" s="1">
        <v>0.85</v>
      </c>
      <c r="H40" s="1">
        <v>0.28999999999999998</v>
      </c>
      <c r="I40" s="32">
        <v>0</v>
      </c>
      <c r="J40" s="1">
        <v>0</v>
      </c>
      <c r="K40" s="1">
        <v>0</v>
      </c>
    </row>
    <row r="41" spans="1:15" x14ac:dyDescent="0.25">
      <c r="A41" s="8" t="s">
        <v>19</v>
      </c>
      <c r="B41" s="1" t="s">
        <v>23</v>
      </c>
      <c r="C41" s="3">
        <v>4.25</v>
      </c>
      <c r="D41" s="1">
        <v>0</v>
      </c>
      <c r="E41" s="12">
        <v>0</v>
      </c>
      <c r="F41" s="12">
        <v>0</v>
      </c>
      <c r="G41" s="1">
        <v>0.85</v>
      </c>
      <c r="H41" s="1">
        <v>0.28999999999999998</v>
      </c>
      <c r="I41" s="32">
        <v>0</v>
      </c>
      <c r="J41" s="1">
        <v>0</v>
      </c>
      <c r="K41" s="1">
        <v>0</v>
      </c>
    </row>
    <row r="42" spans="1:15" x14ac:dyDescent="0.25">
      <c r="A42" s="5" t="s">
        <v>20</v>
      </c>
      <c r="B42" s="8"/>
      <c r="C42" s="10">
        <f t="shared" ref="C42:K42" si="3">SUM(C31:C41)</f>
        <v>84.199999999999989</v>
      </c>
      <c r="D42" s="2">
        <f t="shared" si="3"/>
        <v>0</v>
      </c>
      <c r="E42" s="2">
        <f t="shared" si="3"/>
        <v>0</v>
      </c>
      <c r="F42" s="2">
        <f t="shared" si="3"/>
        <v>0</v>
      </c>
      <c r="G42" s="2">
        <f t="shared" si="3"/>
        <v>16.637</v>
      </c>
      <c r="H42" s="2">
        <f t="shared" si="3"/>
        <v>5.64</v>
      </c>
      <c r="I42" s="33">
        <f t="shared" si="3"/>
        <v>0.12</v>
      </c>
      <c r="J42" s="16">
        <f t="shared" si="3"/>
        <v>0</v>
      </c>
      <c r="K42" s="2">
        <f t="shared" si="3"/>
        <v>2</v>
      </c>
    </row>
    <row r="43" spans="1:15" x14ac:dyDescent="0.25">
      <c r="A43" s="8" t="s">
        <v>8</v>
      </c>
      <c r="B43" s="1" t="s">
        <v>21</v>
      </c>
      <c r="C43" s="3">
        <v>32.56</v>
      </c>
      <c r="D43" s="3">
        <v>32.76</v>
      </c>
      <c r="E43" s="3">
        <v>19.8</v>
      </c>
      <c r="F43" s="13">
        <v>0</v>
      </c>
      <c r="G43" s="1">
        <v>21.49</v>
      </c>
      <c r="H43" s="1">
        <v>7.32</v>
      </c>
      <c r="I43" s="32">
        <f>D43-C43</f>
        <v>0.19999999999999574</v>
      </c>
      <c r="J43" s="1">
        <v>0</v>
      </c>
      <c r="K43" s="1">
        <v>0</v>
      </c>
      <c r="L43" s="14">
        <f>D43-C43</f>
        <v>0.19999999999999574</v>
      </c>
      <c r="M43" s="11">
        <f>L43-I43</f>
        <v>0</v>
      </c>
      <c r="N43" s="7">
        <v>32.79</v>
      </c>
      <c r="O43" s="14">
        <f>C43-N43</f>
        <v>-0.22999999999999687</v>
      </c>
    </row>
    <row r="44" spans="1:15" x14ac:dyDescent="0.25">
      <c r="A44" s="8" t="s">
        <v>10</v>
      </c>
      <c r="B44" s="1" t="s">
        <v>21</v>
      </c>
      <c r="C44" s="3">
        <v>68.2</v>
      </c>
      <c r="D44" s="3">
        <f>55.25+9.57</f>
        <v>64.819999999999993</v>
      </c>
      <c r="E44" s="3">
        <v>53.13</v>
      </c>
      <c r="F44" s="13">
        <v>0</v>
      </c>
      <c r="G44" s="1">
        <f>31.72+10.24+3.06</f>
        <v>45.02</v>
      </c>
      <c r="H44" s="1">
        <f>10.81+3.49+1.04</f>
        <v>15.34</v>
      </c>
      <c r="I44" s="32">
        <v>0</v>
      </c>
      <c r="J44" s="1">
        <v>0</v>
      </c>
      <c r="K44" s="1">
        <v>0</v>
      </c>
      <c r="L44" s="14">
        <f t="shared" ref="L44:L51" si="4">D44-C44</f>
        <v>-3.3800000000000097</v>
      </c>
      <c r="N44" s="7">
        <v>66.63</v>
      </c>
      <c r="O44" s="14"/>
    </row>
    <row r="45" spans="1:15" hidden="1" x14ac:dyDescent="0.25">
      <c r="A45" s="8" t="s">
        <v>11</v>
      </c>
      <c r="B45" s="1" t="s">
        <v>21</v>
      </c>
      <c r="C45" s="13">
        <v>0</v>
      </c>
      <c r="D45" s="13">
        <v>0</v>
      </c>
      <c r="E45" s="13">
        <v>0</v>
      </c>
      <c r="F45" s="13">
        <v>0</v>
      </c>
      <c r="G45" s="1"/>
      <c r="H45" s="1"/>
      <c r="I45" s="32"/>
      <c r="J45" s="1">
        <v>0</v>
      </c>
      <c r="K45" s="1">
        <v>0</v>
      </c>
      <c r="L45" s="14">
        <f t="shared" si="4"/>
        <v>0</v>
      </c>
      <c r="O45" s="14">
        <f t="shared" ref="O45:O50" si="5">C45-N45</f>
        <v>0</v>
      </c>
    </row>
    <row r="46" spans="1:15" hidden="1" x14ac:dyDescent="0.25">
      <c r="A46" s="8" t="s">
        <v>12</v>
      </c>
      <c r="B46" s="1" t="s">
        <v>21</v>
      </c>
      <c r="C46" s="13">
        <v>0</v>
      </c>
      <c r="D46" s="13">
        <v>0</v>
      </c>
      <c r="E46" s="13">
        <v>0</v>
      </c>
      <c r="F46" s="13">
        <v>0</v>
      </c>
      <c r="G46" s="1">
        <v>0</v>
      </c>
      <c r="H46" s="1">
        <v>0</v>
      </c>
      <c r="I46" s="32"/>
      <c r="J46" s="1">
        <v>0</v>
      </c>
      <c r="K46" s="1">
        <v>0</v>
      </c>
      <c r="L46" s="14">
        <f t="shared" si="4"/>
        <v>0</v>
      </c>
      <c r="O46" s="14">
        <f t="shared" si="5"/>
        <v>0</v>
      </c>
    </row>
    <row r="47" spans="1:15" hidden="1" x14ac:dyDescent="0.25">
      <c r="A47" s="8" t="s">
        <v>13</v>
      </c>
      <c r="B47" s="1" t="s">
        <v>21</v>
      </c>
      <c r="C47" s="13">
        <v>0</v>
      </c>
      <c r="D47" s="13">
        <v>0</v>
      </c>
      <c r="E47" s="13">
        <v>0</v>
      </c>
      <c r="F47" s="13">
        <v>0</v>
      </c>
      <c r="G47" s="1"/>
      <c r="H47" s="1"/>
      <c r="I47" s="32"/>
      <c r="J47" s="1">
        <v>0</v>
      </c>
      <c r="K47" s="1">
        <v>0</v>
      </c>
      <c r="L47" s="14">
        <f t="shared" si="4"/>
        <v>0</v>
      </c>
      <c r="O47" s="14">
        <f t="shared" si="5"/>
        <v>0</v>
      </c>
    </row>
    <row r="48" spans="1:15" x14ac:dyDescent="0.25">
      <c r="A48" s="8" t="s">
        <v>14</v>
      </c>
      <c r="B48" s="1" t="s">
        <v>21</v>
      </c>
      <c r="C48" s="3">
        <v>25.88</v>
      </c>
      <c r="D48" s="3">
        <v>24.01</v>
      </c>
      <c r="E48" s="3">
        <v>5.94</v>
      </c>
      <c r="F48" s="3">
        <v>0.46</v>
      </c>
      <c r="G48" s="1">
        <v>15.856</v>
      </c>
      <c r="H48" s="1">
        <v>5.41</v>
      </c>
      <c r="I48" s="32">
        <f>D48-C48</f>
        <v>-1.8699999999999974</v>
      </c>
      <c r="J48" s="1">
        <v>0</v>
      </c>
      <c r="K48" s="1">
        <v>0</v>
      </c>
      <c r="L48" s="14">
        <f>D48-C48</f>
        <v>-1.8699999999999974</v>
      </c>
      <c r="N48" s="7">
        <v>24.2</v>
      </c>
      <c r="O48" s="14">
        <f t="shared" si="5"/>
        <v>1.6799999999999997</v>
      </c>
    </row>
    <row r="49" spans="1:19" x14ac:dyDescent="0.25">
      <c r="A49" s="8" t="s">
        <v>15</v>
      </c>
      <c r="B49" s="1" t="s">
        <v>21</v>
      </c>
      <c r="C49" s="3">
        <v>12.4</v>
      </c>
      <c r="D49" s="3">
        <v>10.7</v>
      </c>
      <c r="E49" s="3">
        <v>4.8600000000000003</v>
      </c>
      <c r="F49" s="13">
        <v>0</v>
      </c>
      <c r="G49" s="1">
        <v>8.19</v>
      </c>
      <c r="H49" s="1">
        <v>2.79</v>
      </c>
      <c r="I49" s="32">
        <v>0</v>
      </c>
      <c r="J49" s="1">
        <v>0</v>
      </c>
      <c r="K49" s="1">
        <v>0</v>
      </c>
      <c r="L49" s="14">
        <f>D49-C49</f>
        <v>-1.7000000000000011</v>
      </c>
      <c r="N49" s="7">
        <v>10.41</v>
      </c>
      <c r="O49" s="14"/>
    </row>
    <row r="50" spans="1:19" x14ac:dyDescent="0.25">
      <c r="A50" s="8" t="s">
        <v>16</v>
      </c>
      <c r="B50" s="1" t="s">
        <v>21</v>
      </c>
      <c r="C50" s="3">
        <v>15.51</v>
      </c>
      <c r="D50" s="3">
        <v>15.5</v>
      </c>
      <c r="E50" s="3">
        <v>7.92</v>
      </c>
      <c r="F50" s="13">
        <v>0</v>
      </c>
      <c r="G50" s="1">
        <v>10.24</v>
      </c>
      <c r="H50" s="1">
        <v>3.49</v>
      </c>
      <c r="I50" s="32">
        <f>D50-C50</f>
        <v>-9.9999999999997868E-3</v>
      </c>
      <c r="J50" s="1">
        <v>0</v>
      </c>
      <c r="K50" s="1">
        <v>0</v>
      </c>
      <c r="L50" s="14">
        <f t="shared" si="4"/>
        <v>-9.9999999999997868E-3</v>
      </c>
      <c r="N50" s="7">
        <v>15.63</v>
      </c>
      <c r="O50" s="14">
        <f t="shared" si="5"/>
        <v>-0.12000000000000099</v>
      </c>
    </row>
    <row r="51" spans="1:19" x14ac:dyDescent="0.25">
      <c r="A51" s="8" t="s">
        <v>17</v>
      </c>
      <c r="B51" s="1" t="s">
        <v>21</v>
      </c>
      <c r="C51" s="3">
        <v>11.63</v>
      </c>
      <c r="D51" s="13">
        <v>10.41</v>
      </c>
      <c r="E51" s="3">
        <v>1.98</v>
      </c>
      <c r="F51" s="13">
        <v>0</v>
      </c>
      <c r="G51" s="1">
        <v>7.68</v>
      </c>
      <c r="H51" s="1">
        <v>2.62</v>
      </c>
      <c r="I51" s="32">
        <v>0</v>
      </c>
      <c r="J51" s="1">
        <v>0</v>
      </c>
      <c r="K51" s="1">
        <v>0</v>
      </c>
      <c r="L51" s="14">
        <f t="shared" si="4"/>
        <v>-1.2200000000000006</v>
      </c>
      <c r="N51" s="7">
        <v>10.71</v>
      </c>
      <c r="O51" s="14"/>
    </row>
    <row r="52" spans="1:19" x14ac:dyDescent="0.25">
      <c r="A52" s="5" t="s">
        <v>20</v>
      </c>
      <c r="B52" s="8"/>
      <c r="C52" s="10">
        <f t="shared" ref="C52:K52" si="6">SUM(C43:C51)</f>
        <v>166.17999999999998</v>
      </c>
      <c r="D52" s="2">
        <f>SUM(D43:D51)</f>
        <v>158.19999999999999</v>
      </c>
      <c r="E52" s="2">
        <f t="shared" si="6"/>
        <v>93.63000000000001</v>
      </c>
      <c r="F52" s="2">
        <f t="shared" si="6"/>
        <v>0.46</v>
      </c>
      <c r="G52" s="2">
        <f t="shared" si="6"/>
        <v>108.476</v>
      </c>
      <c r="H52" s="2">
        <f t="shared" si="6"/>
        <v>36.97</v>
      </c>
      <c r="I52" s="33">
        <f t="shared" si="6"/>
        <v>-1.6800000000000015</v>
      </c>
      <c r="J52" s="16">
        <f>SUM(J43:J51)</f>
        <v>0</v>
      </c>
      <c r="K52" s="2">
        <f t="shared" si="6"/>
        <v>0</v>
      </c>
      <c r="L52" s="7">
        <v>108.47</v>
      </c>
      <c r="N52" s="2">
        <f>SUM(N43:N51)</f>
        <v>160.37</v>
      </c>
      <c r="O52" s="2">
        <f>SUM(O43:O51)</f>
        <v>1.3300000000000018</v>
      </c>
      <c r="S52" s="14"/>
    </row>
    <row r="53" spans="1:19" x14ac:dyDescent="0.25">
      <c r="A53" s="8"/>
      <c r="B53" s="8"/>
      <c r="C53" s="8"/>
      <c r="D53" s="8"/>
      <c r="E53" s="8"/>
      <c r="F53" s="8"/>
      <c r="G53" s="8"/>
      <c r="H53" s="8"/>
      <c r="I53" s="34"/>
      <c r="J53" s="8"/>
      <c r="K53" s="8"/>
      <c r="S53" s="14"/>
    </row>
    <row r="54" spans="1:19" x14ac:dyDescent="0.25">
      <c r="A54" s="5" t="s">
        <v>20</v>
      </c>
      <c r="B54" s="8"/>
      <c r="C54" s="2">
        <f>C42+C30+C18+C52</f>
        <v>1251.3800000000001</v>
      </c>
      <c r="D54" s="2">
        <f t="shared" ref="D54:K54" si="7">D42+D30+D18+D52</f>
        <v>279.95999999999998</v>
      </c>
      <c r="E54" s="2">
        <f t="shared" si="7"/>
        <v>93.63000000000001</v>
      </c>
      <c r="F54" s="2">
        <f t="shared" si="7"/>
        <v>0.46</v>
      </c>
      <c r="G54" s="2">
        <f t="shared" si="7"/>
        <v>371.25400000000002</v>
      </c>
      <c r="H54" s="2">
        <f t="shared" si="7"/>
        <v>124.78</v>
      </c>
      <c r="I54" s="33">
        <f>I42+I30+I18+I52</f>
        <v>28.279999999999994</v>
      </c>
      <c r="J54" s="16">
        <f>J42+J30+J18+J52</f>
        <v>9.0500000000000025</v>
      </c>
      <c r="K54" s="2">
        <f t="shared" si="7"/>
        <v>75.039999999999992</v>
      </c>
      <c r="S54" s="14"/>
    </row>
    <row r="55" spans="1:19" x14ac:dyDescent="0.25">
      <c r="A55" s="36"/>
      <c r="B55" s="37"/>
      <c r="C55" s="37"/>
      <c r="D55" s="37"/>
      <c r="E55" s="37"/>
      <c r="F55" s="37"/>
      <c r="G55" s="37"/>
      <c r="H55" s="38"/>
      <c r="I55" s="17"/>
      <c r="J55" s="17"/>
      <c r="K55" s="17"/>
    </row>
    <row r="56" spans="1:19" x14ac:dyDescent="0.25">
      <c r="A56" s="36"/>
      <c r="B56" s="37"/>
      <c r="C56" s="37"/>
      <c r="D56" s="37"/>
      <c r="E56" s="37"/>
      <c r="F56" s="37"/>
      <c r="G56" s="37"/>
      <c r="H56" s="38"/>
      <c r="I56" s="18"/>
      <c r="J56" s="18"/>
      <c r="K56" s="18"/>
    </row>
    <row r="57" spans="1:19" x14ac:dyDescent="0.25">
      <c r="A57" s="8" t="s">
        <v>8</v>
      </c>
      <c r="B57" s="8"/>
      <c r="C57" s="1">
        <f t="shared" ref="C57:K65" si="8">C7+C19+C31+C43</f>
        <v>331.17</v>
      </c>
      <c r="D57" s="1">
        <f>D7+D19+D31+D43</f>
        <v>66.91</v>
      </c>
      <c r="E57" s="1">
        <f t="shared" si="8"/>
        <v>19.8</v>
      </c>
      <c r="F57" s="1">
        <f t="shared" si="8"/>
        <v>0</v>
      </c>
      <c r="G57" s="1">
        <f t="shared" si="8"/>
        <v>99.066999999999993</v>
      </c>
      <c r="H57" s="1">
        <f t="shared" si="8"/>
        <v>33.28</v>
      </c>
      <c r="I57" s="35">
        <f t="shared" si="8"/>
        <v>15.259999999999994</v>
      </c>
      <c r="J57" s="15">
        <f t="shared" si="8"/>
        <v>0</v>
      </c>
      <c r="K57" s="1">
        <f t="shared" si="8"/>
        <v>24.83</v>
      </c>
    </row>
    <row r="58" spans="1:19" x14ac:dyDescent="0.25">
      <c r="A58" s="8" t="s">
        <v>10</v>
      </c>
      <c r="B58" s="8"/>
      <c r="C58" s="1">
        <f t="shared" si="8"/>
        <v>378.43999999999994</v>
      </c>
      <c r="D58" s="1">
        <f>D8+D20+D32+D44</f>
        <v>97.28</v>
      </c>
      <c r="E58" s="1">
        <f t="shared" si="8"/>
        <v>53.13</v>
      </c>
      <c r="F58" s="1">
        <f t="shared" si="8"/>
        <v>0</v>
      </c>
      <c r="G58" s="1">
        <f t="shared" si="8"/>
        <v>112.755</v>
      </c>
      <c r="H58" s="1">
        <f t="shared" si="8"/>
        <v>37.959999999999994</v>
      </c>
      <c r="I58" s="35">
        <f t="shared" si="8"/>
        <v>4.08</v>
      </c>
      <c r="J58" s="15">
        <f t="shared" si="8"/>
        <v>1.68</v>
      </c>
      <c r="K58" s="1">
        <f t="shared" si="8"/>
        <v>15.92</v>
      </c>
    </row>
    <row r="59" spans="1:19" hidden="1" x14ac:dyDescent="0.25">
      <c r="A59" s="8" t="s">
        <v>11</v>
      </c>
      <c r="B59" s="8"/>
      <c r="C59" s="1">
        <f t="shared" si="8"/>
        <v>0</v>
      </c>
      <c r="D59" s="1">
        <f t="shared" si="8"/>
        <v>0</v>
      </c>
      <c r="E59" s="1">
        <f t="shared" si="8"/>
        <v>0</v>
      </c>
      <c r="F59" s="1">
        <f t="shared" si="8"/>
        <v>0</v>
      </c>
      <c r="G59" s="1">
        <f t="shared" si="8"/>
        <v>0</v>
      </c>
      <c r="H59" s="1">
        <f t="shared" si="8"/>
        <v>0</v>
      </c>
      <c r="I59" s="35">
        <f t="shared" si="8"/>
        <v>0</v>
      </c>
      <c r="J59" s="15">
        <f t="shared" si="8"/>
        <v>0</v>
      </c>
      <c r="K59" s="1">
        <f t="shared" si="8"/>
        <v>0</v>
      </c>
    </row>
    <row r="60" spans="1:19" hidden="1" x14ac:dyDescent="0.25">
      <c r="A60" s="8" t="s">
        <v>12</v>
      </c>
      <c r="B60" s="8"/>
      <c r="C60" s="1">
        <f t="shared" si="8"/>
        <v>0</v>
      </c>
      <c r="D60" s="1">
        <f t="shared" si="8"/>
        <v>0</v>
      </c>
      <c r="E60" s="1">
        <f t="shared" si="8"/>
        <v>0</v>
      </c>
      <c r="F60" s="1">
        <f t="shared" si="8"/>
        <v>0</v>
      </c>
      <c r="G60" s="1">
        <f t="shared" si="8"/>
        <v>0</v>
      </c>
      <c r="H60" s="1">
        <f t="shared" si="8"/>
        <v>0</v>
      </c>
      <c r="I60" s="35">
        <f t="shared" si="8"/>
        <v>0</v>
      </c>
      <c r="J60" s="15">
        <f t="shared" si="8"/>
        <v>0</v>
      </c>
      <c r="K60" s="1">
        <f t="shared" si="8"/>
        <v>0</v>
      </c>
    </row>
    <row r="61" spans="1:19" hidden="1" x14ac:dyDescent="0.25">
      <c r="A61" s="8" t="s">
        <v>13</v>
      </c>
      <c r="B61" s="8"/>
      <c r="C61" s="1">
        <f t="shared" si="8"/>
        <v>0</v>
      </c>
      <c r="D61" s="1">
        <f t="shared" si="8"/>
        <v>0</v>
      </c>
      <c r="E61" s="1">
        <f t="shared" si="8"/>
        <v>0</v>
      </c>
      <c r="F61" s="1">
        <f t="shared" si="8"/>
        <v>0</v>
      </c>
      <c r="G61" s="1">
        <f t="shared" si="8"/>
        <v>0</v>
      </c>
      <c r="H61" s="1">
        <f t="shared" si="8"/>
        <v>0</v>
      </c>
      <c r="I61" s="35">
        <f t="shared" si="8"/>
        <v>0</v>
      </c>
      <c r="J61" s="15">
        <f t="shared" si="8"/>
        <v>0</v>
      </c>
      <c r="K61" s="1">
        <f t="shared" si="8"/>
        <v>0</v>
      </c>
    </row>
    <row r="62" spans="1:19" x14ac:dyDescent="0.25">
      <c r="A62" s="8" t="s">
        <v>14</v>
      </c>
      <c r="B62" s="8"/>
      <c r="C62" s="1">
        <f t="shared" si="8"/>
        <v>190.98000000000002</v>
      </c>
      <c r="D62" s="1">
        <f>D12+D24+D36+D48</f>
        <v>42.63</v>
      </c>
      <c r="E62" s="1">
        <f t="shared" si="8"/>
        <v>5.94</v>
      </c>
      <c r="F62" s="1">
        <f t="shared" si="8"/>
        <v>0.46</v>
      </c>
      <c r="G62" s="1">
        <f t="shared" si="8"/>
        <v>58.371999999999993</v>
      </c>
      <c r="H62" s="1">
        <f t="shared" si="8"/>
        <v>19.61</v>
      </c>
      <c r="I62" s="35">
        <f t="shared" si="8"/>
        <v>4.0600000000000023</v>
      </c>
      <c r="J62" s="15">
        <f t="shared" si="8"/>
        <v>0</v>
      </c>
      <c r="K62" s="1">
        <f t="shared" si="8"/>
        <v>10.200000000000001</v>
      </c>
    </row>
    <row r="63" spans="1:19" x14ac:dyDescent="0.25">
      <c r="A63" s="8" t="s">
        <v>15</v>
      </c>
      <c r="B63" s="8"/>
      <c r="C63" s="1">
        <f t="shared" si="8"/>
        <v>95.23</v>
      </c>
      <c r="D63" s="1">
        <f>D13+D25+D37+D49</f>
        <v>19.850000000000001</v>
      </c>
      <c r="E63" s="1">
        <f t="shared" si="8"/>
        <v>4.8600000000000003</v>
      </c>
      <c r="F63" s="1">
        <f t="shared" si="8"/>
        <v>0</v>
      </c>
      <c r="G63" s="1">
        <f t="shared" si="8"/>
        <v>28.46</v>
      </c>
      <c r="H63" s="1">
        <f t="shared" si="8"/>
        <v>9.56</v>
      </c>
      <c r="I63" s="35">
        <f t="shared" si="8"/>
        <v>0</v>
      </c>
      <c r="J63" s="15">
        <f t="shared" si="8"/>
        <v>2.33</v>
      </c>
      <c r="K63" s="1">
        <f t="shared" si="8"/>
        <v>7.3299999999999992</v>
      </c>
    </row>
    <row r="64" spans="1:19" x14ac:dyDescent="0.25">
      <c r="A64" s="8" t="s">
        <v>16</v>
      </c>
      <c r="B64" s="8"/>
      <c r="C64" s="1">
        <f t="shared" si="8"/>
        <v>78.819999999999993</v>
      </c>
      <c r="D64" s="1">
        <f>D14+D26+D38+D50</f>
        <v>22.7</v>
      </c>
      <c r="E64" s="1">
        <f t="shared" si="8"/>
        <v>7.92</v>
      </c>
      <c r="F64" s="1">
        <f t="shared" si="8"/>
        <v>0</v>
      </c>
      <c r="G64" s="1">
        <f t="shared" si="8"/>
        <v>25.310000000000002</v>
      </c>
      <c r="H64" s="1">
        <f t="shared" si="8"/>
        <v>8.51</v>
      </c>
      <c r="I64" s="35">
        <f t="shared" si="8"/>
        <v>1.57</v>
      </c>
      <c r="J64" s="15">
        <f t="shared" si="8"/>
        <v>0.47000000000000003</v>
      </c>
      <c r="K64" s="1">
        <f t="shared" si="8"/>
        <v>4.0500000000000007</v>
      </c>
    </row>
    <row r="65" spans="1:15" x14ac:dyDescent="0.25">
      <c r="A65" s="8" t="s">
        <v>17</v>
      </c>
      <c r="B65" s="8"/>
      <c r="C65" s="1">
        <f t="shared" si="8"/>
        <v>74.94</v>
      </c>
      <c r="D65" s="1">
        <f>D15+D27+D39+D51</f>
        <v>17.8</v>
      </c>
      <c r="E65" s="1">
        <f t="shared" si="8"/>
        <v>1.98</v>
      </c>
      <c r="F65" s="1">
        <f t="shared" si="8"/>
        <v>0</v>
      </c>
      <c r="G65" s="1">
        <f t="shared" si="8"/>
        <v>22.79</v>
      </c>
      <c r="H65" s="1">
        <f t="shared" si="8"/>
        <v>7.6700000000000008</v>
      </c>
      <c r="I65" s="35">
        <f t="shared" si="8"/>
        <v>0</v>
      </c>
      <c r="J65" s="15">
        <f t="shared" si="8"/>
        <v>2.8000000000000007</v>
      </c>
      <c r="K65" s="1">
        <f t="shared" si="8"/>
        <v>5.3400000000000007</v>
      </c>
    </row>
    <row r="66" spans="1:15" x14ac:dyDescent="0.25">
      <c r="A66" s="8" t="s">
        <v>18</v>
      </c>
      <c r="B66" s="8"/>
      <c r="C66" s="1">
        <f>C16+C28+C40</f>
        <v>50.9</v>
      </c>
      <c r="D66" s="1">
        <f>D16+D28+D40</f>
        <v>6.28</v>
      </c>
      <c r="E66" s="1">
        <f t="shared" ref="E66:K67" si="9">E16+E28+E40</f>
        <v>0</v>
      </c>
      <c r="F66" s="1">
        <f t="shared" si="9"/>
        <v>0</v>
      </c>
      <c r="G66" s="1">
        <f t="shared" si="9"/>
        <v>12.209999999999999</v>
      </c>
      <c r="H66" s="1">
        <f t="shared" si="9"/>
        <v>4.08</v>
      </c>
      <c r="I66" s="35">
        <f t="shared" si="9"/>
        <v>0</v>
      </c>
      <c r="J66" s="15">
        <f t="shared" si="9"/>
        <v>1.2499999999999998</v>
      </c>
      <c r="K66" s="1">
        <f t="shared" si="9"/>
        <v>2.85</v>
      </c>
    </row>
    <row r="67" spans="1:15" x14ac:dyDescent="0.25">
      <c r="A67" s="8" t="s">
        <v>19</v>
      </c>
      <c r="B67" s="8"/>
      <c r="C67" s="1">
        <f>C17+C29+C41</f>
        <v>50.9</v>
      </c>
      <c r="D67" s="1">
        <f>D17+D29+D41</f>
        <v>6.51</v>
      </c>
      <c r="E67" s="1">
        <f t="shared" si="9"/>
        <v>0</v>
      </c>
      <c r="F67" s="1">
        <f t="shared" si="9"/>
        <v>0</v>
      </c>
      <c r="G67" s="1">
        <f t="shared" si="9"/>
        <v>12.290000000000001</v>
      </c>
      <c r="H67" s="1">
        <f t="shared" si="9"/>
        <v>4.1099999999999994</v>
      </c>
      <c r="I67" s="35">
        <f t="shared" si="9"/>
        <v>3.3100000000000005</v>
      </c>
      <c r="J67" s="15">
        <f t="shared" si="9"/>
        <v>0.52</v>
      </c>
      <c r="K67" s="1">
        <f t="shared" si="9"/>
        <v>4.5200000000000005</v>
      </c>
    </row>
    <row r="68" spans="1:15" x14ac:dyDescent="0.25">
      <c r="A68" s="5" t="s">
        <v>20</v>
      </c>
      <c r="B68" s="8"/>
      <c r="C68" s="2">
        <f>SUM(C57:C67)</f>
        <v>1251.3800000000001</v>
      </c>
      <c r="D68" s="2">
        <f>SUM(D57:D67)</f>
        <v>279.95999999999992</v>
      </c>
      <c r="E68" s="2">
        <f t="shared" ref="E68:F68" si="10">SUM(E57:E67)</f>
        <v>93.63000000000001</v>
      </c>
      <c r="F68" s="2">
        <f t="shared" si="10"/>
        <v>0.46</v>
      </c>
      <c r="G68" s="2">
        <f>SUM(G57:G67)</f>
        <v>371.25400000000002</v>
      </c>
      <c r="H68" s="2">
        <f>SUM(H57:H67)</f>
        <v>124.78</v>
      </c>
      <c r="I68" s="33">
        <f t="shared" ref="I68:K68" si="11">SUM(I57:I67)</f>
        <v>28.28</v>
      </c>
      <c r="J68" s="16">
        <f t="shared" si="11"/>
        <v>9.0499999999999989</v>
      </c>
      <c r="K68" s="2">
        <f t="shared" si="11"/>
        <v>75.039999999999992</v>
      </c>
      <c r="M68" s="7">
        <v>1085.2</v>
      </c>
    </row>
    <row r="69" spans="1:15" x14ac:dyDescent="0.25">
      <c r="G69" s="11"/>
      <c r="M69" s="7">
        <v>447.98</v>
      </c>
    </row>
    <row r="70" spans="1:15" x14ac:dyDescent="0.25">
      <c r="M70" s="7">
        <f>M68-M69</f>
        <v>637.22</v>
      </c>
      <c r="O70" s="7">
        <v>1.47</v>
      </c>
    </row>
    <row r="71" spans="1:15" x14ac:dyDescent="0.25">
      <c r="G71" s="11"/>
      <c r="H71" s="11"/>
      <c r="I71" s="11"/>
      <c r="J71" s="11"/>
      <c r="K71" s="11"/>
      <c r="M71" s="7">
        <v>173.14</v>
      </c>
      <c r="O71" s="7">
        <v>3.53</v>
      </c>
    </row>
    <row r="72" spans="1:15" x14ac:dyDescent="0.25">
      <c r="M72" s="7">
        <f>M70-M71</f>
        <v>464.08000000000004</v>
      </c>
      <c r="O72" s="7">
        <f>SUM(O70:O71)</f>
        <v>5</v>
      </c>
    </row>
    <row r="73" spans="1:15" x14ac:dyDescent="0.25">
      <c r="M73" s="7">
        <v>5</v>
      </c>
    </row>
    <row r="74" spans="1:15" x14ac:dyDescent="0.25">
      <c r="M74" s="7">
        <f>M72-M73</f>
        <v>459.08000000000004</v>
      </c>
    </row>
  </sheetData>
  <mergeCells count="7">
    <mergeCell ref="I5:K5"/>
    <mergeCell ref="A5:A6"/>
    <mergeCell ref="B5:B6"/>
    <mergeCell ref="C5:D5"/>
    <mergeCell ref="E5:F5"/>
    <mergeCell ref="G5:G6"/>
    <mergeCell ref="H5:H6"/>
  </mergeCells>
  <pageMargins left="0.7" right="0.7" top="0.75" bottom="0.75" header="0.3" footer="0.3"/>
  <pageSetup paperSize="9" scale="85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P14"/>
  <sheetViews>
    <sheetView workbookViewId="0">
      <selection activeCell="N17" sqref="N17"/>
    </sheetView>
  </sheetViews>
  <sheetFormatPr defaultRowHeight="15" x14ac:dyDescent="0.25"/>
  <cols>
    <col min="4" max="4" width="25.85546875" customWidth="1"/>
    <col min="7" max="8" width="9.140625" customWidth="1"/>
    <col min="10" max="10" width="13.7109375" customWidth="1"/>
    <col min="11" max="11" width="15.140625" customWidth="1"/>
    <col min="12" max="12" width="19" customWidth="1"/>
    <col min="13" max="13" width="30.5703125" bestFit="1" customWidth="1"/>
    <col min="14" max="14" width="30.28515625" bestFit="1" customWidth="1"/>
    <col min="15" max="15" width="33.28515625" bestFit="1" customWidth="1"/>
    <col min="16" max="16" width="20.85546875" bestFit="1" customWidth="1"/>
  </cols>
  <sheetData>
    <row r="2" spans="3:16" x14ac:dyDescent="0.25">
      <c r="C2" s="19" t="s">
        <v>27</v>
      </c>
      <c r="D2" s="19"/>
    </row>
    <row r="3" spans="3:16" x14ac:dyDescent="0.25">
      <c r="C3" s="19" t="s">
        <v>28</v>
      </c>
      <c r="D3" s="19"/>
      <c r="E3" s="19"/>
      <c r="F3" s="19"/>
      <c r="G3" s="19"/>
      <c r="H3" s="19"/>
      <c r="I3" s="19"/>
    </row>
    <row r="4" spans="3:16" x14ac:dyDescent="0.25">
      <c r="K4" s="19" t="s">
        <v>29</v>
      </c>
    </row>
    <row r="5" spans="3:16" x14ac:dyDescent="0.25">
      <c r="C5" s="20" t="s">
        <v>30</v>
      </c>
      <c r="D5" s="20" t="s">
        <v>31</v>
      </c>
      <c r="E5" s="20" t="s">
        <v>32</v>
      </c>
      <c r="F5" s="20" t="s">
        <v>33</v>
      </c>
      <c r="G5" s="20" t="s">
        <v>23</v>
      </c>
      <c r="H5" s="20" t="s">
        <v>21</v>
      </c>
      <c r="I5" s="20" t="s">
        <v>34</v>
      </c>
      <c r="J5" s="20" t="s">
        <v>35</v>
      </c>
      <c r="K5" s="20" t="s">
        <v>36</v>
      </c>
      <c r="L5" s="21" t="s">
        <v>37</v>
      </c>
      <c r="M5" s="21" t="s">
        <v>38</v>
      </c>
      <c r="N5" s="21" t="s">
        <v>39</v>
      </c>
      <c r="O5" s="21" t="s">
        <v>45</v>
      </c>
      <c r="P5" s="21" t="s">
        <v>40</v>
      </c>
    </row>
    <row r="6" spans="3:16" x14ac:dyDescent="0.25">
      <c r="C6" s="22">
        <v>1</v>
      </c>
      <c r="D6" s="8" t="s">
        <v>8</v>
      </c>
      <c r="E6" s="23">
        <v>45.42</v>
      </c>
      <c r="F6" s="3">
        <v>21.41</v>
      </c>
      <c r="G6" s="1">
        <v>0</v>
      </c>
      <c r="H6" s="3">
        <v>41.47</v>
      </c>
      <c r="I6" s="23">
        <v>99.066999999999993</v>
      </c>
      <c r="J6" s="23">
        <v>20.43</v>
      </c>
      <c r="K6" s="1">
        <v>21.54</v>
      </c>
      <c r="L6" s="24" t="s">
        <v>41</v>
      </c>
      <c r="M6" s="25">
        <f>0.55+0.17</f>
        <v>0.72000000000000008</v>
      </c>
      <c r="N6" s="25">
        <f>0.27+0.27</f>
        <v>0.54</v>
      </c>
      <c r="O6" s="25"/>
      <c r="P6" s="25">
        <v>0.56000000000000005</v>
      </c>
    </row>
    <row r="7" spans="3:16" x14ac:dyDescent="0.25">
      <c r="C7" s="22">
        <v>2</v>
      </c>
      <c r="D7" s="8" t="s">
        <v>10</v>
      </c>
      <c r="E7" s="23">
        <v>34.53</v>
      </c>
      <c r="F7" s="3">
        <f>2.5+2.04+2+2.07+1.51</f>
        <v>10.119999999999999</v>
      </c>
      <c r="G7" s="3">
        <v>3.2</v>
      </c>
      <c r="H7" s="3">
        <f>64.21</f>
        <v>64.209999999999994</v>
      </c>
      <c r="I7" s="23">
        <v>112.755</v>
      </c>
      <c r="J7" s="23">
        <v>4.1000000000000005</v>
      </c>
      <c r="K7" s="1">
        <v>10.59</v>
      </c>
      <c r="L7" s="24" t="s">
        <v>42</v>
      </c>
      <c r="M7" s="26">
        <f>1.88+0.05+0.6</f>
        <v>2.5299999999999998</v>
      </c>
      <c r="N7" s="23">
        <f>0.2+0.06+0.54</f>
        <v>0.8</v>
      </c>
      <c r="O7" s="23"/>
      <c r="P7" s="26">
        <v>0.05</v>
      </c>
    </row>
    <row r="8" spans="3:16" x14ac:dyDescent="0.25">
      <c r="C8" s="22">
        <v>3</v>
      </c>
      <c r="D8" s="8" t="s">
        <v>14</v>
      </c>
      <c r="E8" s="23">
        <v>24.17</v>
      </c>
      <c r="F8" s="3">
        <v>5.66</v>
      </c>
      <c r="G8" s="1">
        <v>0</v>
      </c>
      <c r="H8" s="3">
        <v>26</v>
      </c>
      <c r="I8" s="23">
        <v>58.371999999999993</v>
      </c>
      <c r="J8" s="23">
        <v>6.1899999999999977</v>
      </c>
      <c r="K8" s="1">
        <v>8.16</v>
      </c>
      <c r="L8" s="24" t="s">
        <v>43</v>
      </c>
      <c r="M8" s="26">
        <v>0</v>
      </c>
      <c r="N8" s="26">
        <v>0</v>
      </c>
      <c r="O8" s="26"/>
      <c r="P8" s="26">
        <v>1.0900000000000001</v>
      </c>
    </row>
    <row r="9" spans="3:16" x14ac:dyDescent="0.25">
      <c r="C9" s="22">
        <v>4</v>
      </c>
      <c r="D9" s="8" t="s">
        <v>15</v>
      </c>
      <c r="E9" s="23">
        <v>9.91</v>
      </c>
      <c r="F9" s="3">
        <v>2.91</v>
      </c>
      <c r="G9" s="1">
        <v>0</v>
      </c>
      <c r="H9" s="3">
        <v>9.73</v>
      </c>
      <c r="I9" s="23">
        <v>28.46</v>
      </c>
      <c r="J9" s="23">
        <v>0</v>
      </c>
      <c r="K9" s="1">
        <v>6.54</v>
      </c>
      <c r="L9" s="24" t="s">
        <v>41</v>
      </c>
      <c r="M9" s="26">
        <f>0.21+0.09</f>
        <v>0.3</v>
      </c>
      <c r="N9" s="26">
        <v>0</v>
      </c>
      <c r="O9" s="26"/>
      <c r="P9" s="26">
        <v>0.23</v>
      </c>
    </row>
    <row r="10" spans="3:16" x14ac:dyDescent="0.25">
      <c r="C10" s="22">
        <v>5</v>
      </c>
      <c r="D10" s="8" t="s">
        <v>16</v>
      </c>
      <c r="E10" s="23">
        <v>7.92</v>
      </c>
      <c r="F10" s="3">
        <f>1.83</f>
        <v>1.83</v>
      </c>
      <c r="G10" s="1">
        <v>0</v>
      </c>
      <c r="H10" s="3">
        <f>15.07</f>
        <v>15.07</v>
      </c>
      <c r="I10" s="23">
        <v>25.310000000000002</v>
      </c>
      <c r="J10" s="23">
        <v>0</v>
      </c>
      <c r="K10" s="1">
        <v>3.24</v>
      </c>
      <c r="L10" s="24" t="s">
        <v>43</v>
      </c>
      <c r="M10" s="26">
        <v>0</v>
      </c>
      <c r="N10" s="26">
        <v>0</v>
      </c>
      <c r="O10" s="26"/>
      <c r="P10" s="26">
        <v>0.47</v>
      </c>
    </row>
    <row r="11" spans="3:16" x14ac:dyDescent="0.25">
      <c r="C11" s="22">
        <v>6</v>
      </c>
      <c r="D11" s="8" t="s">
        <v>17</v>
      </c>
      <c r="E11" s="27">
        <v>9.1199999999999992</v>
      </c>
      <c r="F11" s="3">
        <v>2.4824348010000001</v>
      </c>
      <c r="G11" s="1">
        <v>0</v>
      </c>
      <c r="H11" s="3">
        <v>10.51</v>
      </c>
      <c r="I11" s="23">
        <v>22.79</v>
      </c>
      <c r="J11" s="23">
        <v>0</v>
      </c>
      <c r="K11" s="1">
        <v>4.8600000000000003</v>
      </c>
      <c r="L11" s="24" t="s">
        <v>41</v>
      </c>
      <c r="M11" s="26">
        <v>0.12</v>
      </c>
      <c r="N11" s="26">
        <v>0</v>
      </c>
      <c r="O11" s="26"/>
      <c r="P11" s="26">
        <v>0.3</v>
      </c>
    </row>
    <row r="12" spans="3:16" x14ac:dyDescent="0.25">
      <c r="C12" s="22">
        <v>7</v>
      </c>
      <c r="D12" s="8" t="s">
        <v>18</v>
      </c>
      <c r="E12" s="23">
        <v>5.79</v>
      </c>
      <c r="F12" s="3">
        <v>1.81</v>
      </c>
      <c r="G12" s="1">
        <v>0</v>
      </c>
      <c r="H12" s="23"/>
      <c r="I12" s="23">
        <v>12.209999999999999</v>
      </c>
      <c r="J12" s="23">
        <v>0</v>
      </c>
      <c r="K12" s="1">
        <v>2.62</v>
      </c>
      <c r="L12" s="24" t="s">
        <v>43</v>
      </c>
      <c r="M12" s="26">
        <v>0.14000000000000001</v>
      </c>
      <c r="N12" s="23">
        <v>0.01</v>
      </c>
      <c r="O12" s="23"/>
      <c r="P12" s="23"/>
    </row>
    <row r="13" spans="3:16" x14ac:dyDescent="0.25">
      <c r="C13" s="22">
        <v>8</v>
      </c>
      <c r="D13" s="8" t="s">
        <v>19</v>
      </c>
      <c r="E13" s="23">
        <v>10.23</v>
      </c>
      <c r="F13" s="3">
        <v>2.86</v>
      </c>
      <c r="G13" s="1">
        <v>0</v>
      </c>
      <c r="H13" s="23"/>
      <c r="I13" s="23">
        <v>12.290000000000001</v>
      </c>
      <c r="J13">
        <v>3.1500000000000004</v>
      </c>
      <c r="K13" s="1">
        <v>4.120000000000001</v>
      </c>
      <c r="L13" s="24" t="s">
        <v>44</v>
      </c>
      <c r="M13" s="26">
        <v>0</v>
      </c>
      <c r="N13" s="23">
        <v>0.21</v>
      </c>
      <c r="O13" s="23"/>
      <c r="P13" s="23"/>
    </row>
    <row r="14" spans="3:16" x14ac:dyDescent="0.25">
      <c r="C14" s="28"/>
      <c r="D14" s="28"/>
      <c r="E14" s="29">
        <f t="shared" ref="E14:N14" si="0">SUM(E6:E13)</f>
        <v>147.08999999999997</v>
      </c>
      <c r="F14" s="29">
        <f t="shared" si="0"/>
        <v>49.082434800999991</v>
      </c>
      <c r="G14" s="29">
        <f t="shared" si="0"/>
        <v>3.2</v>
      </c>
      <c r="H14" s="29">
        <f t="shared" si="0"/>
        <v>166.98999999999998</v>
      </c>
      <c r="I14" s="29">
        <f t="shared" si="0"/>
        <v>371.25400000000002</v>
      </c>
      <c r="J14" s="29">
        <f t="shared" si="0"/>
        <v>33.869999999999997</v>
      </c>
      <c r="K14" s="29">
        <f t="shared" si="0"/>
        <v>61.669999999999987</v>
      </c>
      <c r="L14" s="30"/>
      <c r="M14" s="29">
        <f t="shared" si="0"/>
        <v>3.81</v>
      </c>
      <c r="N14" s="29">
        <f t="shared" si="0"/>
        <v>1.56</v>
      </c>
      <c r="O14" s="29"/>
      <c r="P14" s="29">
        <f>SUM(P6:P13)</f>
        <v>2.7</v>
      </c>
    </row>
  </sheetData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O15"/>
  <sheetViews>
    <sheetView tabSelected="1" workbookViewId="0">
      <selection activeCell="E5" sqref="E5:O5"/>
    </sheetView>
  </sheetViews>
  <sheetFormatPr defaultRowHeight="15" x14ac:dyDescent="0.25"/>
  <cols>
    <col min="4" max="4" width="26" customWidth="1"/>
    <col min="8" max="8" width="11.28515625" customWidth="1"/>
    <col min="9" max="9" width="11.5703125" customWidth="1"/>
    <col min="10" max="10" width="11.140625" customWidth="1"/>
  </cols>
  <sheetData>
    <row r="2" spans="4:15" x14ac:dyDescent="0.25">
      <c r="D2" s="6" t="s">
        <v>0</v>
      </c>
      <c r="E2" s="7"/>
    </row>
    <row r="3" spans="4:15" x14ac:dyDescent="0.25">
      <c r="D3" s="6" t="s">
        <v>67</v>
      </c>
      <c r="E3" s="7"/>
    </row>
    <row r="4" spans="4:15" x14ac:dyDescent="0.25">
      <c r="D4" s="6"/>
      <c r="E4" s="7"/>
    </row>
    <row r="5" spans="4:15" x14ac:dyDescent="0.25">
      <c r="D5" s="5"/>
      <c r="E5" s="84" t="s">
        <v>77</v>
      </c>
      <c r="F5" s="84"/>
      <c r="G5" s="84"/>
      <c r="H5" s="85" t="s">
        <v>71</v>
      </c>
      <c r="I5" s="85"/>
      <c r="J5" s="85"/>
      <c r="K5" s="85"/>
      <c r="L5" s="86"/>
      <c r="M5" s="86"/>
      <c r="N5" s="86"/>
      <c r="O5" s="86" t="s">
        <v>29</v>
      </c>
    </row>
    <row r="6" spans="4:15" ht="45" x14ac:dyDescent="0.25">
      <c r="D6" s="80" t="s">
        <v>31</v>
      </c>
      <c r="E6" s="80" t="s">
        <v>32</v>
      </c>
      <c r="F6" s="80" t="s">
        <v>50</v>
      </c>
      <c r="G6" s="80" t="s">
        <v>70</v>
      </c>
      <c r="H6" s="81" t="s">
        <v>73</v>
      </c>
      <c r="I6" s="81" t="s">
        <v>72</v>
      </c>
      <c r="J6" s="81" t="s">
        <v>74</v>
      </c>
      <c r="K6" s="81" t="s">
        <v>72</v>
      </c>
      <c r="L6" s="81" t="s">
        <v>75</v>
      </c>
      <c r="M6" s="81" t="s">
        <v>20</v>
      </c>
      <c r="N6" s="81" t="s">
        <v>59</v>
      </c>
      <c r="O6" s="81" t="s">
        <v>70</v>
      </c>
    </row>
    <row r="7" spans="4:15" x14ac:dyDescent="0.25">
      <c r="D7" s="8" t="s">
        <v>8</v>
      </c>
      <c r="E7" s="27">
        <f>'Ouststanding Position'!D7</f>
        <v>10.476425900000001</v>
      </c>
      <c r="F7" s="27">
        <f>'Ouststanding Position'!D16</f>
        <v>0.79186449999999997</v>
      </c>
      <c r="G7" s="27">
        <f>E7+F7</f>
        <v>11.268290400000001</v>
      </c>
      <c r="H7" s="27">
        <f>'Ouststanding Position'!C34</f>
        <v>32.54</v>
      </c>
      <c r="I7" s="27">
        <f>'Ouststanding Position'!D34</f>
        <v>30.409123600000001</v>
      </c>
      <c r="J7" s="83">
        <f>'Ouststanding Position'!E45</f>
        <v>19.8</v>
      </c>
      <c r="K7" s="83">
        <f>'Ouststanding Position'!F45</f>
        <v>15.09</v>
      </c>
      <c r="L7" s="83">
        <f>'Ouststanding Position'!G45</f>
        <v>98.826794710047636</v>
      </c>
      <c r="M7" s="83">
        <f>G7+I7+K7+L7</f>
        <v>155.59420871004764</v>
      </c>
      <c r="N7" s="83">
        <f>'Ouststanding Position'!H45</f>
        <v>33.28</v>
      </c>
      <c r="O7" s="83">
        <f>M7+N7</f>
        <v>188.87420871004764</v>
      </c>
    </row>
    <row r="8" spans="4:15" x14ac:dyDescent="0.25">
      <c r="D8" s="8" t="s">
        <v>10</v>
      </c>
      <c r="E8" s="27">
        <f>'Ouststanding Position'!D8</f>
        <v>3.4501784</v>
      </c>
      <c r="F8" s="27">
        <f>'Ouststanding Position'!D17</f>
        <v>0</v>
      </c>
      <c r="G8" s="27">
        <f t="shared" ref="G8:G14" si="0">E8+F8</f>
        <v>3.4501784</v>
      </c>
      <c r="H8" s="27">
        <f>'Ouststanding Position'!C35</f>
        <v>67</v>
      </c>
      <c r="I8" s="27">
        <f>'Ouststanding Position'!D35</f>
        <v>67.099015899999998</v>
      </c>
      <c r="J8" s="83">
        <f>'Ouststanding Position'!E46</f>
        <v>53.13</v>
      </c>
      <c r="K8" s="83">
        <f>'Ouststanding Position'!F46</f>
        <v>1.77</v>
      </c>
      <c r="L8" s="83">
        <f>'Ouststanding Position'!G46</f>
        <v>112.48167070938666</v>
      </c>
      <c r="M8" s="83">
        <f t="shared" ref="M8:M14" si="1">G8+I8+K8+L8</f>
        <v>184.80086500938665</v>
      </c>
      <c r="N8" s="83">
        <f>'Ouststanding Position'!H46</f>
        <v>37.959999999999994</v>
      </c>
      <c r="O8" s="83">
        <f t="shared" ref="O8:O14" si="2">M8+N8</f>
        <v>222.76086500938663</v>
      </c>
    </row>
    <row r="9" spans="4:15" x14ac:dyDescent="0.25">
      <c r="D9" s="8" t="s">
        <v>76</v>
      </c>
      <c r="E9" s="27">
        <f>'Ouststanding Position'!D9</f>
        <v>6.653091703756675</v>
      </c>
      <c r="F9" s="27">
        <f>'Ouststanding Position'!D18</f>
        <v>0.2420723201775753</v>
      </c>
      <c r="G9" s="27">
        <f t="shared" si="0"/>
        <v>6.8951640239342504</v>
      </c>
      <c r="H9" s="27">
        <f>'Ouststanding Position'!C36</f>
        <v>24.01</v>
      </c>
      <c r="I9" s="27">
        <f>'Ouststanding Position'!D36</f>
        <v>24.011054300000001</v>
      </c>
      <c r="J9" s="83">
        <f>'Ouststanding Position'!E47</f>
        <v>5.94</v>
      </c>
      <c r="K9" s="83">
        <f>'Ouststanding Position'!F47</f>
        <v>0</v>
      </c>
      <c r="L9" s="83">
        <f>'Ouststanding Position'!G47</f>
        <v>58.230473576864597</v>
      </c>
      <c r="M9" s="83">
        <f t="shared" si="1"/>
        <v>89.136691900798851</v>
      </c>
      <c r="N9" s="83">
        <f>'Ouststanding Position'!H47</f>
        <v>19.61</v>
      </c>
      <c r="O9" s="83">
        <f t="shared" si="2"/>
        <v>108.74669190079885</v>
      </c>
    </row>
    <row r="10" spans="4:15" x14ac:dyDescent="0.25">
      <c r="D10" s="8" t="s">
        <v>15</v>
      </c>
      <c r="E10" s="27">
        <f>'Ouststanding Position'!D10</f>
        <v>3.0633602</v>
      </c>
      <c r="F10" s="27">
        <f>'Ouststanding Position'!D19</f>
        <v>0.1124506</v>
      </c>
      <c r="G10" s="27">
        <f t="shared" si="0"/>
        <v>3.1758107999999998</v>
      </c>
      <c r="H10" s="27">
        <f>'Ouststanding Position'!C37</f>
        <v>12.4</v>
      </c>
      <c r="I10" s="27">
        <f>'Ouststanding Position'!D37</f>
        <v>10.7400614</v>
      </c>
      <c r="J10" s="83">
        <f>'Ouststanding Position'!E48</f>
        <v>4.8600000000000003</v>
      </c>
      <c r="K10" s="83">
        <f>'Ouststanding Position'!F48</f>
        <v>0</v>
      </c>
      <c r="L10" s="83">
        <f>'Ouststanding Position'!G48</f>
        <v>28.390997483839641</v>
      </c>
      <c r="M10" s="83">
        <f t="shared" si="1"/>
        <v>42.306869683839636</v>
      </c>
      <c r="N10" s="83">
        <f>'Ouststanding Position'!H48</f>
        <v>9.56</v>
      </c>
      <c r="O10" s="83">
        <f t="shared" si="2"/>
        <v>51.866869683839639</v>
      </c>
    </row>
    <row r="11" spans="4:15" x14ac:dyDescent="0.25">
      <c r="D11" s="8" t="s">
        <v>16</v>
      </c>
      <c r="E11" s="27">
        <f>'Ouststanding Position'!D11</f>
        <v>2.5904372000000002</v>
      </c>
      <c r="F11" s="27">
        <f>'Ouststanding Position'!D20</f>
        <v>9.0470900000000007E-2</v>
      </c>
      <c r="G11" s="27">
        <f t="shared" si="0"/>
        <v>2.6809081000000003</v>
      </c>
      <c r="H11" s="27">
        <f>'Ouststanding Position'!C38</f>
        <v>15.5</v>
      </c>
      <c r="I11" s="27">
        <f>'Ouststanding Position'!D38</f>
        <v>15.487606400000001</v>
      </c>
      <c r="J11" s="83">
        <f>'Ouststanding Position'!E49</f>
        <v>7.92</v>
      </c>
      <c r="K11" s="83">
        <f>'Ouststanding Position'!F49</f>
        <v>0</v>
      </c>
      <c r="L11" s="83">
        <f>'Ouststanding Position'!G49</f>
        <v>25.248658142644672</v>
      </c>
      <c r="M11" s="83">
        <f t="shared" si="1"/>
        <v>43.417172642644672</v>
      </c>
      <c r="N11" s="83">
        <f>'Ouststanding Position'!H49</f>
        <v>8.51</v>
      </c>
      <c r="O11" s="83">
        <f t="shared" si="2"/>
        <v>51.92717264264467</v>
      </c>
    </row>
    <row r="12" spans="4:15" x14ac:dyDescent="0.25">
      <c r="D12" s="8" t="s">
        <v>17</v>
      </c>
      <c r="E12" s="27">
        <f>'Ouststanding Position'!D12</f>
        <v>2.5856067</v>
      </c>
      <c r="F12" s="27">
        <f>'Ouststanding Position'!D21</f>
        <v>0.10796868319524112</v>
      </c>
      <c r="G12" s="27">
        <f t="shared" si="0"/>
        <v>2.6935753831952414</v>
      </c>
      <c r="H12" s="27">
        <f>'Ouststanding Position'!C39</f>
        <v>11.63</v>
      </c>
      <c r="I12" s="27">
        <f>'Ouststanding Position'!D39</f>
        <v>9.0671160999999998</v>
      </c>
      <c r="J12" s="83">
        <f>'Ouststanding Position'!E50</f>
        <v>1.98</v>
      </c>
      <c r="K12" s="83">
        <f>'Ouststanding Position'!F50</f>
        <v>0</v>
      </c>
      <c r="L12" s="83">
        <f>'Ouststanding Position'!G50</f>
        <v>22.734774914550307</v>
      </c>
      <c r="M12" s="83">
        <f t="shared" si="1"/>
        <v>34.495466397745545</v>
      </c>
      <c r="N12" s="83">
        <f>'Ouststanding Position'!H50</f>
        <v>7.6700000000000008</v>
      </c>
      <c r="O12" s="83">
        <f t="shared" si="2"/>
        <v>42.165466397745547</v>
      </c>
    </row>
    <row r="13" spans="4:15" x14ac:dyDescent="0.25">
      <c r="D13" s="8" t="s">
        <v>18</v>
      </c>
      <c r="E13" s="27">
        <f>'Ouststanding Position'!D13</f>
        <v>2.1688765168625586</v>
      </c>
      <c r="F13" s="27">
        <f>'Ouststanding Position'!D22</f>
        <v>9.8491999999999996E-2</v>
      </c>
      <c r="G13" s="27">
        <f t="shared" si="0"/>
        <v>2.2673685168625584</v>
      </c>
      <c r="H13" s="27">
        <v>0</v>
      </c>
      <c r="I13" s="27">
        <v>0</v>
      </c>
      <c r="J13" s="23"/>
      <c r="K13" s="23"/>
      <c r="L13" s="83">
        <f>'Ouststanding Position'!G51</f>
        <v>12.180401384062822</v>
      </c>
      <c r="M13" s="83">
        <f t="shared" si="1"/>
        <v>14.44776990092538</v>
      </c>
      <c r="N13" s="83">
        <f>'Ouststanding Position'!H51</f>
        <v>4.08</v>
      </c>
      <c r="O13" s="83">
        <f t="shared" si="2"/>
        <v>18.527769900925378</v>
      </c>
    </row>
    <row r="14" spans="4:15" x14ac:dyDescent="0.25">
      <c r="D14" s="8" t="s">
        <v>19</v>
      </c>
      <c r="E14" s="27">
        <f>'Ouststanding Position'!D14</f>
        <v>2.2570777</v>
      </c>
      <c r="F14" s="27">
        <f>'Ouststanding Position'!D23</f>
        <v>9.5942100000000002E-2</v>
      </c>
      <c r="G14" s="27">
        <f t="shared" si="0"/>
        <v>2.3530197999999998</v>
      </c>
      <c r="H14" s="27">
        <f>'Ouststanding Position'!C41</f>
        <v>0</v>
      </c>
      <c r="I14" s="27">
        <f>'Ouststanding Position'!D41</f>
        <v>0</v>
      </c>
      <c r="J14" s="23"/>
      <c r="K14" s="23"/>
      <c r="L14" s="83">
        <f>'Ouststanding Position'!G52</f>
        <v>12.260212483487662</v>
      </c>
      <c r="M14" s="83">
        <f t="shared" si="1"/>
        <v>14.613232283487662</v>
      </c>
      <c r="N14" s="83">
        <f>'Ouststanding Position'!H52</f>
        <v>4.1099999999999994</v>
      </c>
      <c r="O14" s="83">
        <f t="shared" si="2"/>
        <v>18.723232283487661</v>
      </c>
    </row>
    <row r="15" spans="4:15" x14ac:dyDescent="0.25">
      <c r="D15" s="23" t="s">
        <v>20</v>
      </c>
      <c r="E15" s="82">
        <f>SUM(E7:E14)</f>
        <v>33.245054320619232</v>
      </c>
      <c r="F15" s="82">
        <f t="shared" ref="F15:O15" si="3">SUM(F7:F14)</f>
        <v>1.5392611033728165</v>
      </c>
      <c r="G15" s="82">
        <f t="shared" si="3"/>
        <v>34.784315423992055</v>
      </c>
      <c r="H15" s="82">
        <f t="shared" si="3"/>
        <v>163.07999999999998</v>
      </c>
      <c r="I15" s="82">
        <f t="shared" si="3"/>
        <v>156.81397769999998</v>
      </c>
      <c r="J15" s="82">
        <f t="shared" si="3"/>
        <v>93.63000000000001</v>
      </c>
      <c r="K15" s="82">
        <f t="shared" si="3"/>
        <v>16.86</v>
      </c>
      <c r="L15" s="82">
        <f t="shared" si="3"/>
        <v>370.35398340488393</v>
      </c>
      <c r="M15" s="82">
        <f t="shared" si="3"/>
        <v>578.81227652887605</v>
      </c>
      <c r="N15" s="82">
        <f t="shared" si="3"/>
        <v>124.78</v>
      </c>
      <c r="O15" s="82">
        <f t="shared" si="3"/>
        <v>703.59227652887603</v>
      </c>
    </row>
  </sheetData>
  <mergeCells count="2">
    <mergeCell ref="H5:K5"/>
    <mergeCell ref="E5:G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Ouststanding Position</vt:lpstr>
      <vt:lpstr>Abstract</vt:lpstr>
      <vt:lpstr>Ouststanding Position (3)</vt:lpstr>
      <vt:lpstr>Ouststanding Position (2)</vt:lpstr>
      <vt:lpstr>Sheet2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punnarao.s</dc:creator>
  <cp:lastModifiedBy>sairam.k</cp:lastModifiedBy>
  <cp:lastPrinted>2023-06-20T06:11:27Z</cp:lastPrinted>
  <dcterms:created xsi:type="dcterms:W3CDTF">2019-08-05T06:37:57Z</dcterms:created>
  <dcterms:modified xsi:type="dcterms:W3CDTF">2023-11-23T12:36:09Z</dcterms:modified>
</cp:coreProperties>
</file>